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9600" windowHeight="9120" tabRatio="933" activeTab="0"/>
  </bookViews>
  <sheets>
    <sheet name="●注意事項" sheetId="1" r:id="rId1"/>
    <sheet name="見積書表紙（例）" sheetId="2" r:id="rId2"/>
    <sheet name="見積書表紙（例） (複数・途中)" sheetId="3" r:id="rId3"/>
    <sheet name="見積内訳書（様式例）" sheetId="4" r:id="rId4"/>
    <sheet name="見積内訳書（例） (説明入り)" sheetId="5" r:id="rId5"/>
    <sheet name="比較（例）" sheetId="6" r:id="rId6"/>
    <sheet name="比較（例） (複数工事)" sheetId="7" r:id="rId7"/>
  </sheets>
  <definedNames>
    <definedName name="_xlnm.Print_Area" localSheetId="1">'見積書表紙（例）'!$A$1:$I$35</definedName>
    <definedName name="_xlnm.Print_Area" localSheetId="2">'見積書表紙（例） (複数・途中)'!$A$1:$I$35</definedName>
    <definedName name="_xlnm.Print_Area" localSheetId="3">'見積内訳書（様式例）'!$A$1:$I$75</definedName>
    <definedName name="_xlnm.Print_Area" localSheetId="4">'見積内訳書（例） (説明入り)'!$A$1:$I$77</definedName>
    <definedName name="_xlnm.Print_Area" localSheetId="5">'比較（例）'!$A$1:$Q$36</definedName>
    <definedName name="_xlnm.Print_Area" localSheetId="6">'比較（例） (複数工事)'!$A$1:$Q$36</definedName>
    <definedName name="_xlnm.Print_Titles" localSheetId="3">'見積内訳書（様式例）'!$1:$5</definedName>
    <definedName name="_xlnm.Print_Titles" localSheetId="4">'見積内訳書（例） (説明入り)'!$1:$5</definedName>
  </definedNames>
  <calcPr fullCalcOnLoad="1"/>
</workbook>
</file>

<file path=xl/sharedStrings.xml><?xml version="1.0" encoding="utf-8"?>
<sst xmlns="http://schemas.openxmlformats.org/spreadsheetml/2006/main" count="672" uniqueCount="279">
  <si>
    <t>費　　　目</t>
  </si>
  <si>
    <t>工　　　　種</t>
  </si>
  <si>
    <t>種　　　　別</t>
  </si>
  <si>
    <t>細　　　別</t>
  </si>
  <si>
    <t>数　　量</t>
  </si>
  <si>
    <t>単　　価</t>
  </si>
  <si>
    <t>式</t>
  </si>
  <si>
    <t>％</t>
  </si>
  <si>
    <t>備　考</t>
  </si>
  <si>
    <t>金　　額</t>
  </si>
  <si>
    <t>単位</t>
  </si>
  <si>
    <t>　</t>
  </si>
  <si>
    <t>　補償費</t>
  </si>
  <si>
    <t>休耕田</t>
  </si>
  <si>
    <t>12か月</t>
  </si>
  <si>
    <t>㎡</t>
  </si>
  <si>
    <t>支出証拠書の写しを添付</t>
  </si>
  <si>
    <t>農地法</t>
  </si>
  <si>
    <t>地目転換</t>
  </si>
  <si>
    <t>一時転用</t>
  </si>
  <si>
    <t>測量費</t>
  </si>
  <si>
    <t>調査費</t>
  </si>
  <si>
    <t>設計費</t>
  </si>
  <si>
    <t>L=0.2km</t>
  </si>
  <si>
    <t>A=0.003㎢</t>
  </si>
  <si>
    <t>土壌分析</t>
  </si>
  <si>
    <t>試料</t>
  </si>
  <si>
    <t>経費込み</t>
  </si>
  <si>
    <t>ヒ素、銅</t>
  </si>
  <si>
    <t>ｶﾄﾞﾐｳﾑ､ph</t>
  </si>
  <si>
    <t>外部委託の場合は、</t>
  </si>
  <si>
    <t>直接工事費</t>
  </si>
  <si>
    <t>　借地料</t>
  </si>
  <si>
    <t>　測量費</t>
  </si>
  <si>
    <t>　調査費</t>
  </si>
  <si>
    <t>　設計費</t>
  </si>
  <si>
    <t>盛土法面仕上げ</t>
  </si>
  <si>
    <t>㎥</t>
  </si>
  <si>
    <t>境界復元</t>
  </si>
  <si>
    <t>プラ杭込み</t>
  </si>
  <si>
    <t>ha</t>
  </si>
  <si>
    <t>　　　　〃</t>
  </si>
  <si>
    <t>進入道路砂利敷</t>
  </si>
  <si>
    <t>W=3.5m</t>
  </si>
  <si>
    <t>RC-40,t15</t>
  </si>
  <si>
    <t>W=3.0m</t>
  </si>
  <si>
    <t>運搬路補修</t>
  </si>
  <si>
    <t>As13,t3</t>
  </si>
  <si>
    <t>オーバーレイ</t>
  </si>
  <si>
    <t>大型土のう</t>
  </si>
  <si>
    <t>袋</t>
  </si>
  <si>
    <t>　復旧工</t>
  </si>
  <si>
    <t>　仮設工</t>
  </si>
  <si>
    <t>交通誘導員</t>
  </si>
  <si>
    <t>人</t>
  </si>
  <si>
    <t>〇共通仮設費率分</t>
  </si>
  <si>
    <t>〇安全費</t>
  </si>
  <si>
    <t>〇現場管理費</t>
  </si>
  <si>
    <t>令和〇年○月○日</t>
  </si>
  <si>
    <t>　島根県知事　様</t>
  </si>
  <si>
    <t>残土処分場整備業者名</t>
  </si>
  <si>
    <t>１.残土搬出工事名</t>
  </si>
  <si>
    <t>令和〇年度　○○地区　○○工事</t>
  </si>
  <si>
    <t>２.見積金額</t>
  </si>
  <si>
    <t>別紙の内訳表のとおり</t>
  </si>
  <si>
    <t>３.見積有効期限</t>
  </si>
  <si>
    <t>４.処分地総容量</t>
  </si>
  <si>
    <t>５.処分地残容量</t>
  </si>
  <si>
    <t>現在</t>
  </si>
  <si>
    <t>地下排水工</t>
  </si>
  <si>
    <t>ｍ</t>
  </si>
  <si>
    <t>φ50</t>
  </si>
  <si>
    <t>t=15cm</t>
  </si>
  <si>
    <t>平均H=1.5m</t>
  </si>
  <si>
    <t>場内仮設鉄板敷</t>
  </si>
  <si>
    <t>３回転用</t>
  </si>
  <si>
    <t>L=10km</t>
  </si>
  <si>
    <t>（畑地t30）</t>
  </si>
  <si>
    <t>表土賄土積込運搬</t>
  </si>
  <si>
    <t>削り取り</t>
  </si>
  <si>
    <t>縦断方向に２系列</t>
  </si>
  <si>
    <t>表土はぎ・戻し</t>
  </si>
  <si>
    <t>出入口付近１名</t>
  </si>
  <si>
    <t>２名で交代体制</t>
  </si>
  <si>
    <t>１.用地買収・補償費</t>
  </si>
  <si>
    <t>２.許認可申請事務費</t>
  </si>
  <si>
    <t>４.工事価格</t>
  </si>
  <si>
    <t>　汚濁防止工</t>
  </si>
  <si>
    <t>●純工事費</t>
  </si>
  <si>
    <t>●間接工事費計</t>
  </si>
  <si>
    <t>●工事原価</t>
  </si>
  <si>
    <t>道路改良工事600万円以下</t>
  </si>
  <si>
    <t>道路改良工事700万円以下</t>
  </si>
  <si>
    <t>○一般管理費等</t>
  </si>
  <si>
    <t>単価</t>
  </si>
  <si>
    <t>換算単価</t>
  </si>
  <si>
    <t>（円/㎥）</t>
  </si>
  <si>
    <t>見　　積　　書</t>
  </si>
  <si>
    <t>元請業者名　又は、</t>
  </si>
  <si>
    <t>令和〇年○月○日以降</t>
  </si>
  <si>
    <t>７.受入可能土質</t>
  </si>
  <si>
    <t>第１種から第３種で通常の施工性が確保</t>
  </si>
  <si>
    <t>される含水比のもの</t>
  </si>
  <si>
    <t>※降雨後等で高含水の状態の残土は、</t>
  </si>
  <si>
    <t>　受入を断る場合があります。</t>
  </si>
  <si>
    <t>搬出先：</t>
  </si>
  <si>
    <t>費目</t>
  </si>
  <si>
    <t>工種</t>
  </si>
  <si>
    <t>種別</t>
  </si>
  <si>
    <t>数量</t>
  </si>
  <si>
    <t>金額</t>
  </si>
  <si>
    <t>備考</t>
  </si>
  <si>
    <t>１.補償費</t>
  </si>
  <si>
    <t>３.測量調査設計費</t>
  </si>
  <si>
    <t>２.資料等作成費</t>
  </si>
  <si>
    <t>借地費</t>
  </si>
  <si>
    <t>平面縦横断</t>
  </si>
  <si>
    <t>用地測量費</t>
  </si>
  <si>
    <t>処理場計画</t>
  </si>
  <si>
    <t>４.処理場整備費</t>
  </si>
  <si>
    <t>地目変換
一時転用</t>
  </si>
  <si>
    <t>12ヶ月</t>
  </si>
  <si>
    <t>農地単価 6%</t>
  </si>
  <si>
    <t>鼻搔き・整地</t>
  </si>
  <si>
    <t>盛土法面仕上げ</t>
  </si>
  <si>
    <t>表土賄土積込運搬</t>
  </si>
  <si>
    <t>進入道路砂利敷</t>
  </si>
  <si>
    <t>場内仮設鉄板敷</t>
  </si>
  <si>
    <t>運搬路補修</t>
  </si>
  <si>
    <t>仮設工</t>
  </si>
  <si>
    <t>事務費
（直営）</t>
  </si>
  <si>
    <t>測量設計費
（直営）</t>
  </si>
  <si>
    <t>汚濁防止工</t>
  </si>
  <si>
    <t>沈砂池</t>
  </si>
  <si>
    <t>沈砂池</t>
  </si>
  <si>
    <t>復旧工</t>
  </si>
  <si>
    <t>　残土処分地整備工</t>
  </si>
  <si>
    <t>処分地整備工</t>
  </si>
  <si>
    <t>m</t>
  </si>
  <si>
    <t>m3</t>
  </si>
  <si>
    <t>m2</t>
  </si>
  <si>
    <t>安全費</t>
  </si>
  <si>
    <t>交通誘導員</t>
  </si>
  <si>
    <t>工事費</t>
  </si>
  <si>
    <t>５.土砂等運搬費</t>
  </si>
  <si>
    <t>L=5.0km</t>
  </si>
  <si>
    <t>DT運搬 10t</t>
  </si>
  <si>
    <t>３.測量調査設計費</t>
  </si>
  <si>
    <t>処理場整備費</t>
  </si>
  <si>
    <t>◎処理場経費計</t>
  </si>
  <si>
    <t>L=15.0km</t>
  </si>
  <si>
    <t>１.受入料金</t>
  </si>
  <si>
    <t>合　　計</t>
  </si>
  <si>
    <t>判　　定</t>
  </si>
  <si>
    <t>◎　採　用</t>
  </si>
  <si>
    <t>✕　不　採　用</t>
  </si>
  <si>
    <t>【参考】1.～4.のm3当たり</t>
  </si>
  <si>
    <t>経費等込み</t>
  </si>
  <si>
    <t>　※受入料金（消費税抜き）は、諸経費のほか、全ての経費等を含む</t>
  </si>
  <si>
    <t>県登録の常設受入施設（○○）</t>
  </si>
  <si>
    <t>　用地測量費</t>
  </si>
  <si>
    <t>L=51m</t>
  </si>
  <si>
    <t>受注者が変更協議を申出た処分地（□□）</t>
  </si>
  <si>
    <t>ha</t>
  </si>
  <si>
    <t>m</t>
  </si>
  <si>
    <t>m3</t>
  </si>
  <si>
    <t>m2</t>
  </si>
  <si>
    <t>（施工済み）</t>
  </si>
  <si>
    <r>
      <t>表土はぎ</t>
    </r>
    <r>
      <rPr>
        <strike/>
        <sz val="11"/>
        <color indexed="48"/>
        <rFont val="游ゴシック"/>
        <family val="3"/>
      </rPr>
      <t>・戻し</t>
    </r>
  </si>
  <si>
    <t>〃</t>
  </si>
  <si>
    <r>
      <t>沈砂池</t>
    </r>
    <r>
      <rPr>
        <sz val="11"/>
        <color indexed="48"/>
        <rFont val="游ゴシック"/>
        <family val="3"/>
      </rPr>
      <t>設置</t>
    </r>
  </si>
  <si>
    <t>（別途積上計上）</t>
  </si>
  <si>
    <t>2,000円/m2*6%=120円/m2</t>
  </si>
  <si>
    <t>資料収集(公図、登記簿等)</t>
  </si>
  <si>
    <t>現地・平面図1/500</t>
  </si>
  <si>
    <t>路線・縦横断図　W&lt;45m</t>
  </si>
  <si>
    <t>万m2</t>
  </si>
  <si>
    <t>(ha)</t>
  </si>
  <si>
    <t>外注業務費、経費込み</t>
  </si>
  <si>
    <t>原野・丘陵地</t>
  </si>
  <si>
    <t>耕地(森林)</t>
  </si>
  <si>
    <t>搬出側で計上分</t>
  </si>
  <si>
    <t>縦横断設計・数量計算</t>
  </si>
  <si>
    <t>L=0.12km</t>
  </si>
  <si>
    <t>残土処理場設計</t>
  </si>
  <si>
    <t>（路線計画・設計）</t>
  </si>
  <si>
    <t>外注持ち込み、経費込み</t>
  </si>
  <si>
    <t>表土はぎ</t>
  </si>
  <si>
    <t>表土戻し</t>
  </si>
  <si>
    <t>A&lt;0.3ha</t>
  </si>
  <si>
    <t>W300-H500</t>
  </si>
  <si>
    <t>残土受入地</t>
  </si>
  <si>
    <t>整地（鼻搔き）</t>
  </si>
  <si>
    <t>場内仮設鉄板賃料</t>
  </si>
  <si>
    <t>枚</t>
  </si>
  <si>
    <t>拵え・設置</t>
  </si>
  <si>
    <t>撤去</t>
  </si>
  <si>
    <t>〇運搬費</t>
  </si>
  <si>
    <t>仮設鉄板</t>
  </si>
  <si>
    <t>27.268t</t>
  </si>
  <si>
    <t>打合せ協議(資料作成等含む)</t>
  </si>
  <si>
    <t>1.4m≦W≦3.0m</t>
  </si>
  <si>
    <t>供用30日間</t>
  </si>
  <si>
    <t>　安全費</t>
  </si>
  <si>
    <t>12.78*1.1</t>
  </si>
  <si>
    <t>資料収集(公図、登記簿等)</t>
  </si>
  <si>
    <t>土壌分析
AsCu Cd ph</t>
  </si>
  <si>
    <t>残土処理場設計</t>
  </si>
  <si>
    <t>〇直接工事費</t>
  </si>
  <si>
    <t>φ50 C-40</t>
  </si>
  <si>
    <t>湧水処理工</t>
  </si>
  <si>
    <t>残土受入地盛土</t>
  </si>
  <si>
    <t>残土受入地追加表土</t>
  </si>
  <si>
    <t>製作・設置</t>
  </si>
  <si>
    <t>無償残土</t>
  </si>
  <si>
    <t>残土利用</t>
  </si>
  <si>
    <t>現場処理</t>
  </si>
  <si>
    <t>交通誘導員</t>
  </si>
  <si>
    <t>出入口付近</t>
  </si>
  <si>
    <t xml:space="preserve">  工事原価　約 8,250万円（工事価格　約 １億円）</t>
  </si>
  <si>
    <t>○○%</t>
  </si>
  <si>
    <r>
      <rPr>
        <sz val="12"/>
        <color indexed="10"/>
        <rFont val="ＭＳ Ｐゴシック"/>
        <family val="3"/>
      </rPr>
      <t>〇</t>
    </r>
    <r>
      <rPr>
        <sz val="12"/>
        <rFont val="ＭＳ Ｐゴシック"/>
        <family val="3"/>
      </rPr>
      <t>か月</t>
    </r>
  </si>
  <si>
    <r>
      <t>縦横断図　W&lt;</t>
    </r>
    <r>
      <rPr>
        <sz val="12"/>
        <color indexed="10"/>
        <rFont val="ＭＳ Ｐゴシック"/>
        <family val="3"/>
      </rPr>
      <t>〇</t>
    </r>
    <r>
      <rPr>
        <sz val="12"/>
        <rFont val="ＭＳ Ｐゴシック"/>
        <family val="3"/>
      </rPr>
      <t>m</t>
    </r>
  </si>
  <si>
    <r>
      <t>A=</t>
    </r>
    <r>
      <rPr>
        <sz val="12"/>
        <color indexed="10"/>
        <rFont val="ＭＳ Ｐゴシック"/>
        <family val="3"/>
      </rPr>
      <t>〇</t>
    </r>
    <r>
      <rPr>
        <sz val="12"/>
        <rFont val="ＭＳ Ｐゴシック"/>
        <family val="3"/>
      </rPr>
      <t>㎢</t>
    </r>
  </si>
  <si>
    <r>
      <t>W=</t>
    </r>
    <r>
      <rPr>
        <sz val="12"/>
        <color indexed="10"/>
        <rFont val="ＭＳ Ｐゴシック"/>
        <family val="3"/>
      </rPr>
      <t>〇</t>
    </r>
    <r>
      <rPr>
        <sz val="12"/>
        <rFont val="ＭＳ Ｐゴシック"/>
        <family val="3"/>
      </rPr>
      <t>m</t>
    </r>
  </si>
  <si>
    <r>
      <t>L=</t>
    </r>
    <r>
      <rPr>
        <sz val="12"/>
        <color indexed="10"/>
        <rFont val="ＭＳ Ｐゴシック"/>
        <family val="3"/>
      </rPr>
      <t>〇</t>
    </r>
    <r>
      <rPr>
        <sz val="12"/>
        <rFont val="ＭＳ Ｐゴシック"/>
        <family val="3"/>
      </rPr>
      <t>m</t>
    </r>
  </si>
  <si>
    <r>
      <t>t=</t>
    </r>
    <r>
      <rPr>
        <sz val="12"/>
        <color indexed="10"/>
        <rFont val="ＭＳ Ｐゴシック"/>
        <family val="3"/>
      </rPr>
      <t>〇</t>
    </r>
    <r>
      <rPr>
        <sz val="12"/>
        <rFont val="ＭＳ Ｐゴシック"/>
        <family val="3"/>
      </rPr>
      <t>cm</t>
    </r>
  </si>
  <si>
    <r>
      <t>平面図1/</t>
    </r>
    <r>
      <rPr>
        <sz val="12"/>
        <color indexed="10"/>
        <rFont val="ＭＳ Ｐゴシック"/>
        <family val="3"/>
      </rPr>
      <t>〇○○</t>
    </r>
  </si>
  <si>
    <r>
      <t>W</t>
    </r>
    <r>
      <rPr>
        <sz val="12"/>
        <color indexed="10"/>
        <rFont val="ＭＳ Ｐゴシック"/>
        <family val="3"/>
      </rPr>
      <t>〇</t>
    </r>
    <r>
      <rPr>
        <sz val="12"/>
        <rFont val="ＭＳ Ｐゴシック"/>
        <family val="3"/>
      </rPr>
      <t>-H</t>
    </r>
    <r>
      <rPr>
        <sz val="12"/>
        <color indexed="10"/>
        <rFont val="ＭＳ Ｐゴシック"/>
        <family val="3"/>
      </rPr>
      <t>〇</t>
    </r>
  </si>
  <si>
    <r>
      <t>平均H=</t>
    </r>
    <r>
      <rPr>
        <sz val="12"/>
        <color indexed="10"/>
        <rFont val="ＭＳ Ｐゴシック"/>
        <family val="3"/>
      </rPr>
      <t>〇</t>
    </r>
    <r>
      <rPr>
        <sz val="12"/>
        <rFont val="ＭＳ Ｐゴシック"/>
        <family val="3"/>
      </rPr>
      <t>m</t>
    </r>
  </si>
  <si>
    <t>t22-1.5*3.0-802kg/枚</t>
  </si>
  <si>
    <r>
      <t>畑地表土　t=</t>
    </r>
    <r>
      <rPr>
        <sz val="12"/>
        <color indexed="10"/>
        <rFont val="ＭＳ Ｐゴシック"/>
        <family val="3"/>
      </rPr>
      <t>〇</t>
    </r>
    <r>
      <rPr>
        <sz val="12"/>
        <rFont val="ＭＳ Ｐゴシック"/>
        <family val="3"/>
      </rPr>
      <t>cm</t>
    </r>
  </si>
  <si>
    <r>
      <t>L=</t>
    </r>
    <r>
      <rPr>
        <sz val="12"/>
        <color indexed="10"/>
        <rFont val="ＭＳ Ｐゴシック"/>
        <family val="3"/>
      </rPr>
      <t>〇</t>
    </r>
    <r>
      <rPr>
        <sz val="12"/>
        <rFont val="ＭＳ Ｐゴシック"/>
        <family val="3"/>
      </rPr>
      <t>km</t>
    </r>
  </si>
  <si>
    <r>
      <rPr>
        <sz val="12"/>
        <color indexed="10"/>
        <rFont val="ＭＳ Ｐゴシック"/>
        <family val="3"/>
      </rPr>
      <t>〇</t>
    </r>
    <r>
      <rPr>
        <sz val="12"/>
        <rFont val="ＭＳ Ｐゴシック"/>
        <family val="3"/>
      </rPr>
      <t>回転用</t>
    </r>
  </si>
  <si>
    <r>
      <t>供用</t>
    </r>
    <r>
      <rPr>
        <sz val="12"/>
        <color indexed="10"/>
        <rFont val="ＭＳ Ｐゴシック"/>
        <family val="3"/>
      </rPr>
      <t>〇</t>
    </r>
    <r>
      <rPr>
        <sz val="12"/>
        <rFont val="ＭＳ Ｐゴシック"/>
        <family val="3"/>
      </rPr>
      <t>日間</t>
    </r>
  </si>
  <si>
    <r>
      <t>As13,t=</t>
    </r>
    <r>
      <rPr>
        <sz val="12"/>
        <color indexed="10"/>
        <rFont val="ＭＳ Ｐゴシック"/>
        <family val="3"/>
      </rPr>
      <t>〇</t>
    </r>
    <r>
      <rPr>
        <sz val="12"/>
        <rFont val="ＭＳ Ｐゴシック"/>
        <family val="3"/>
      </rPr>
      <t>cm</t>
    </r>
  </si>
  <si>
    <r>
      <t>RC-40,t=</t>
    </r>
    <r>
      <rPr>
        <sz val="12"/>
        <color indexed="10"/>
        <rFont val="ＭＳ Ｐゴシック"/>
        <family val="3"/>
      </rPr>
      <t>〇</t>
    </r>
    <r>
      <rPr>
        <sz val="12"/>
        <rFont val="ＭＳ Ｐゴシック"/>
        <family val="3"/>
      </rPr>
      <t>cm</t>
    </r>
  </si>
  <si>
    <r>
      <t>実働</t>
    </r>
    <r>
      <rPr>
        <sz val="12"/>
        <color indexed="10"/>
        <rFont val="ＭＳ Ｐゴシック"/>
        <family val="3"/>
      </rPr>
      <t>〇</t>
    </r>
    <r>
      <rPr>
        <sz val="12"/>
        <rFont val="ＭＳ Ｐゴシック"/>
        <family val="3"/>
      </rPr>
      <t>日</t>
    </r>
  </si>
  <si>
    <t>※想定計画数量</t>
  </si>
  <si>
    <r>
      <rPr>
        <sz val="12"/>
        <color indexed="10"/>
        <rFont val="ＭＳ Ｐゴシック"/>
        <family val="3"/>
      </rPr>
      <t>〇</t>
    </r>
    <r>
      <rPr>
        <sz val="12"/>
        <rFont val="ＭＳ Ｐゴシック"/>
        <family val="3"/>
      </rPr>
      <t>t</t>
    </r>
  </si>
  <si>
    <r>
      <t>令和</t>
    </r>
    <r>
      <rPr>
        <sz val="12"/>
        <color indexed="10"/>
        <rFont val="ＭＳ Ｐゴシック"/>
        <family val="3"/>
      </rPr>
      <t>〇</t>
    </r>
    <r>
      <rPr>
        <sz val="12"/>
        <rFont val="ＭＳ Ｐゴシック"/>
        <family val="3"/>
      </rPr>
      <t>年</t>
    </r>
    <r>
      <rPr>
        <sz val="12"/>
        <color indexed="10"/>
        <rFont val="ＭＳ Ｐゴシック"/>
        <family val="3"/>
      </rPr>
      <t>○</t>
    </r>
    <r>
      <rPr>
        <sz val="12"/>
        <rFont val="ＭＳ Ｐゴシック"/>
        <family val="3"/>
      </rPr>
      <t>月</t>
    </r>
    <r>
      <rPr>
        <sz val="12"/>
        <color indexed="10"/>
        <rFont val="ＭＳ Ｐゴシック"/>
        <family val="3"/>
      </rPr>
      <t>○</t>
    </r>
    <r>
      <rPr>
        <sz val="12"/>
        <rFont val="ＭＳ Ｐゴシック"/>
        <family val="3"/>
      </rPr>
      <t>日</t>
    </r>
  </si>
  <si>
    <r>
      <t>見積書提出日から</t>
    </r>
    <r>
      <rPr>
        <sz val="12"/>
        <color indexed="10"/>
        <rFont val="ＭＳ Ｐゴシック"/>
        <family val="3"/>
      </rPr>
      <t>令和〇年</t>
    </r>
    <r>
      <rPr>
        <sz val="12"/>
        <rFont val="ＭＳ Ｐゴシック"/>
        <family val="3"/>
      </rPr>
      <t>３月３１日まで</t>
    </r>
  </si>
  <si>
    <r>
      <t>（別添、</t>
    </r>
    <r>
      <rPr>
        <sz val="12"/>
        <color indexed="10"/>
        <rFont val="ＭＳ Ｐゴシック"/>
        <family val="3"/>
      </rPr>
      <t>全景写真</t>
    </r>
    <r>
      <rPr>
        <sz val="12"/>
        <rFont val="ＭＳ Ｐゴシック"/>
        <family val="3"/>
      </rPr>
      <t>を参照）</t>
    </r>
  </si>
  <si>
    <r>
      <t>６.受入開始</t>
    </r>
    <r>
      <rPr>
        <sz val="12"/>
        <color indexed="10"/>
        <rFont val="ＭＳ Ｐゴシック"/>
        <family val="3"/>
      </rPr>
      <t>（予定）</t>
    </r>
    <r>
      <rPr>
        <sz val="12"/>
        <rFont val="ＭＳ Ｐゴシック"/>
        <family val="3"/>
      </rPr>
      <t>日</t>
    </r>
  </si>
  <si>
    <r>
      <t>残　土　処　理　場　経　費　　内　訳　表　　　　　　</t>
    </r>
    <r>
      <rPr>
        <sz val="18"/>
        <color indexed="10"/>
        <rFont val="ＭＳ Ｐ明朝"/>
        <family val="1"/>
      </rPr>
      <t>【項目例示、記載例】</t>
    </r>
  </si>
  <si>
    <r>
      <t>残　土　処　理　場　経　費　　内　訳　表　　　　</t>
    </r>
    <r>
      <rPr>
        <sz val="18"/>
        <color indexed="10"/>
        <rFont val="ＭＳ Ｐ明朝"/>
        <family val="1"/>
      </rPr>
      <t>【記載例、試算例】</t>
    </r>
  </si>
  <si>
    <t>入札率98%</t>
  </si>
  <si>
    <t>【参考】1.～4.
　　見積額の小計</t>
  </si>
  <si>
    <r>
      <t>※　</t>
    </r>
    <r>
      <rPr>
        <u val="double"/>
        <sz val="11"/>
        <color indexed="10"/>
        <rFont val="游ゴシック"/>
        <family val="3"/>
      </rPr>
      <t>経済比較での採用は、必要経費等の総額（合計）を比較して判断し、決定</t>
    </r>
    <r>
      <rPr>
        <sz val="11"/>
        <color indexed="10"/>
        <rFont val="游ゴシック"/>
        <family val="3"/>
      </rPr>
      <t>する。</t>
    </r>
  </si>
  <si>
    <t>残土鼻搔き</t>
  </si>
  <si>
    <t>表土鼻搔き</t>
  </si>
  <si>
    <t>沈砂池設置撤去</t>
  </si>
  <si>
    <t>≧ \2,062-</t>
  </si>
  <si>
    <t>1.～4.のm3当たり</t>
  </si>
  <si>
    <t>☆　総容量3,700m3のうち、既に700㎥が処理済み、本工事で1,000m3を処理する例示。</t>
  </si>
  <si>
    <r>
      <t>※　</t>
    </r>
    <r>
      <rPr>
        <u val="single"/>
        <sz val="11"/>
        <color indexed="12"/>
        <rFont val="游ゴシック"/>
        <family val="3"/>
      </rPr>
      <t>精算時には、下記項目を検収</t>
    </r>
    <r>
      <rPr>
        <sz val="11"/>
        <color indexed="12"/>
        <rFont val="游ゴシック"/>
        <family val="3"/>
      </rPr>
      <t>し、</t>
    </r>
    <r>
      <rPr>
        <b/>
        <u val="double"/>
        <sz val="11"/>
        <color indexed="12"/>
        <rFont val="游ゴシック"/>
        <family val="3"/>
      </rPr>
      <t>単価計上の整備費以上の出来高を確認</t>
    </r>
    <r>
      <rPr>
        <sz val="11"/>
        <color indexed="12"/>
        <rFont val="游ゴシック"/>
        <family val="3"/>
      </rPr>
      <t>すること。</t>
    </r>
  </si>
  <si>
    <t>↑ok</t>
  </si>
  <si>
    <t>※積上除く</t>
  </si>
  <si>
    <r>
      <t>・・・・・・</t>
    </r>
    <r>
      <rPr>
        <b/>
        <u val="double"/>
        <sz val="11"/>
        <rFont val="游ゴシック"/>
        <family val="3"/>
      </rPr>
      <t>設計書へは、左記単価のうち積上分除く 2,062円/m3を1,000m3計上する</t>
    </r>
    <r>
      <rPr>
        <b/>
        <sz val="11"/>
        <rFont val="游ゴシック"/>
        <family val="3"/>
      </rPr>
      <t>。</t>
    </r>
  </si>
  <si>
    <t>⇒検収対象</t>
  </si>
  <si>
    <t>※1,700m3処理時点の整備費等単価</t>
  </si>
  <si>
    <t>見積価格</t>
  </si>
  <si>
    <t>見積価格</t>
  </si>
  <si>
    <t>1.～4.の出来高m3当たり単価</t>
  </si>
  <si>
    <t>（１工事で完了する場合の記載例）</t>
  </si>
  <si>
    <t>（複数工事の場合の記載例）</t>
  </si>
  <si>
    <r>
      <t>残　土　処　理　経　費　　経済比較表　　　</t>
    </r>
    <r>
      <rPr>
        <b/>
        <sz val="14"/>
        <color indexed="60"/>
        <rFont val="游明朝"/>
        <family val="1"/>
      </rPr>
      <t>【１工事で完了する場合の例】</t>
    </r>
  </si>
  <si>
    <r>
      <t>残　土　処　理　経　費　　経済比較表　　　</t>
    </r>
    <r>
      <rPr>
        <b/>
        <sz val="14"/>
        <color indexed="60"/>
        <rFont val="游明朝"/>
        <family val="1"/>
      </rPr>
      <t>【複数工事の場合の例】</t>
    </r>
  </si>
  <si>
    <r>
      <t>※　</t>
    </r>
    <r>
      <rPr>
        <b/>
        <u val="double"/>
        <sz val="12"/>
        <color indexed="48"/>
        <rFont val="ＭＳ Ｐゴシック"/>
        <family val="3"/>
      </rPr>
      <t>見積書に「用地買収費」が計上されている場合、発注者が負担する項目としないこと</t>
    </r>
    <r>
      <rPr>
        <b/>
        <sz val="12"/>
        <color indexed="48"/>
        <rFont val="ＭＳ Ｐゴシック"/>
        <family val="3"/>
      </rPr>
      <t xml:space="preserve">。
　　 </t>
    </r>
    <r>
      <rPr>
        <b/>
        <u val="double"/>
        <sz val="12"/>
        <color indexed="48"/>
        <rFont val="ＭＳ Ｐゴシック"/>
        <family val="3"/>
      </rPr>
      <t>また、跡地利用を確認し、場合によっては「建設発生土の官民有効利用」として取扱うことを検討すること</t>
    </r>
    <r>
      <rPr>
        <b/>
        <sz val="12"/>
        <color indexed="48"/>
        <rFont val="ＭＳ Ｐゴシック"/>
        <family val="3"/>
      </rPr>
      <t>。</t>
    </r>
  </si>
  <si>
    <t>（技術管理課で 広範に項目出しをして作成しています）</t>
  </si>
  <si>
    <t>【見積書（例）使用にあたっての注意事項】</t>
  </si>
  <si>
    <t>・現場によって、必要な工種が異なるので取捨選択すること。</t>
  </si>
  <si>
    <t>・必ずこの見積記載例に準じる必要はありません。（参考資料）です。</t>
  </si>
  <si>
    <t>・見積書内の「１.用地賠償・補償費」について</t>
  </si>
  <si>
    <t>処理地の所有者を確認する意味合いが主であり、買収されている場合は何らかの跡地利用が</t>
  </si>
  <si>
    <r>
      <t>計画されている場合がある。その場合、</t>
    </r>
    <r>
      <rPr>
        <sz val="11"/>
        <color indexed="10"/>
        <rFont val="ＭＳ Ｐゴシック"/>
        <family val="3"/>
      </rPr>
      <t>「官民有効利用」</t>
    </r>
    <r>
      <rPr>
        <sz val="11"/>
        <rFont val="ＭＳ Ｐゴシック"/>
        <family val="3"/>
      </rPr>
      <t>による取扱いが適している可能性がある。</t>
    </r>
  </si>
  <si>
    <t>（民間への利益供与にならないように）</t>
  </si>
  <si>
    <t>買収費は、発注者が負担する経費とはしない。</t>
  </si>
  <si>
    <t>・記載された すべての工種が必要ではない（工事ごとに異なる）ので、ご注意下さい。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</si>
</sst>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#,##0_ "/>
    <numFmt numFmtId="179" formatCode="0;0;"/>
    <numFmt numFmtId="180" formatCode="#,##0_);[Red]\(#,##0\)"/>
    <numFmt numFmtId="181" formatCode="#,##0.0_ "/>
    <numFmt numFmtId="182" formatCode="0.0_);[Red]\(0.0\)"/>
    <numFmt numFmtId="183" formatCode="0.00_);[Red]\(0.00\)"/>
    <numFmt numFmtId="184" formatCode="#,##0.00_ "/>
    <numFmt numFmtId="185" formatCode="0.0_ "/>
    <numFmt numFmtId="186" formatCode="0.0_);\(0.0\)"/>
    <numFmt numFmtId="187" formatCode="0_ "/>
    <numFmt numFmtId="188" formatCode="0_ ;[Red]\-0\ "/>
    <numFmt numFmtId="189" formatCode="0.000_);[Red]\(0.000\)"/>
    <numFmt numFmtId="190" formatCode="#,##0_ ;[Red]\-#,##0\ "/>
    <numFmt numFmtId="191" formatCode="#,##0.0_);[Red]\(#,##0.0\)"/>
    <numFmt numFmtId="192" formatCode="#,##0.0_ ;[Red]\-#,##0.0\ "/>
    <numFmt numFmtId="193" formatCode="0_);[Red]\(0\)"/>
    <numFmt numFmtId="194" formatCode="#,##0.000_ "/>
    <numFmt numFmtId="195" formatCode="#,##0.0000_ "/>
    <numFmt numFmtId="196" formatCode="#,##0.000;[Red]\-#,##0.000"/>
  </numFmts>
  <fonts count="69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name val="游ゴシック"/>
      <family val="3"/>
    </font>
    <font>
      <b/>
      <sz val="11"/>
      <name val="游ゴシック"/>
      <family val="3"/>
    </font>
    <font>
      <b/>
      <sz val="12"/>
      <name val="游ゴシック"/>
      <family val="3"/>
    </font>
    <font>
      <b/>
      <sz val="14"/>
      <name val="游ゴシック"/>
      <family val="3"/>
    </font>
    <font>
      <sz val="11"/>
      <color indexed="48"/>
      <name val="游ゴシック"/>
      <family val="3"/>
    </font>
    <font>
      <strike/>
      <sz val="11"/>
      <color indexed="48"/>
      <name val="游ゴシック"/>
      <family val="3"/>
    </font>
    <font>
      <sz val="11"/>
      <color indexed="12"/>
      <name val="游ゴシック"/>
      <family val="3"/>
    </font>
    <font>
      <u val="single"/>
      <sz val="11"/>
      <color indexed="12"/>
      <name val="游ゴシック"/>
      <family val="3"/>
    </font>
    <font>
      <b/>
      <u val="double"/>
      <sz val="11"/>
      <name val="游ゴシック"/>
      <family val="3"/>
    </font>
    <font>
      <sz val="12"/>
      <color indexed="10"/>
      <name val="ＭＳ Ｐゴシック"/>
      <family val="3"/>
    </font>
    <font>
      <sz val="18"/>
      <color indexed="10"/>
      <name val="ＭＳ Ｐ明朝"/>
      <family val="1"/>
    </font>
    <font>
      <sz val="11"/>
      <color indexed="10"/>
      <name val="游ゴシック"/>
      <family val="3"/>
    </font>
    <font>
      <u val="double"/>
      <sz val="11"/>
      <color indexed="10"/>
      <name val="游ゴシック"/>
      <family val="3"/>
    </font>
    <font>
      <b/>
      <u val="double"/>
      <sz val="11"/>
      <color indexed="12"/>
      <name val="游ゴシック"/>
      <family val="3"/>
    </font>
    <font>
      <b/>
      <sz val="14"/>
      <color indexed="60"/>
      <name val="游明朝"/>
      <family val="1"/>
    </font>
    <font>
      <b/>
      <sz val="12"/>
      <color indexed="48"/>
      <name val="ＭＳ Ｐゴシック"/>
      <family val="3"/>
    </font>
    <font>
      <b/>
      <u val="double"/>
      <sz val="12"/>
      <color indexed="4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2"/>
      <name val="游ゴシック"/>
      <family val="3"/>
    </font>
    <font>
      <b/>
      <u val="double"/>
      <sz val="11"/>
      <color indexed="60"/>
      <name val="游ゴシック"/>
      <family val="3"/>
    </font>
    <font>
      <sz val="16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3333FF"/>
      <name val="游ゴシック"/>
      <family val="3"/>
    </font>
    <font>
      <sz val="11"/>
      <color rgb="FF0000FF"/>
      <name val="游ゴシック"/>
      <family val="3"/>
    </font>
    <font>
      <b/>
      <sz val="11"/>
      <color rgb="FF0000FF"/>
      <name val="游ゴシック"/>
      <family val="3"/>
    </font>
    <font>
      <sz val="12"/>
      <color rgb="FFFF0000"/>
      <name val="ＭＳ Ｐゴシック"/>
      <family val="3"/>
    </font>
    <font>
      <sz val="11"/>
      <color rgb="FFFF0000"/>
      <name val="游ゴシック"/>
      <family val="3"/>
    </font>
    <font>
      <b/>
      <u val="double"/>
      <sz val="11"/>
      <color rgb="FFC00000"/>
      <name val="游ゴシック"/>
      <family val="3"/>
    </font>
    <font>
      <sz val="16"/>
      <color rgb="FFFF0000"/>
      <name val="ＭＳ Ｐ明朝"/>
      <family val="1"/>
    </font>
    <font>
      <b/>
      <sz val="12"/>
      <color rgb="FF3333FF"/>
      <name val="ＭＳ Ｐゴシック"/>
      <family val="3"/>
    </font>
    <font>
      <sz val="11"/>
      <color rgb="FFFF0000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999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215"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shrinkToFit="1"/>
    </xf>
    <xf numFmtId="0" fontId="1" fillId="0" borderId="0" xfId="0" applyNumberFormat="1" applyFont="1" applyAlignment="1">
      <alignment shrinkToFit="1"/>
    </xf>
    <xf numFmtId="177" fontId="1" fillId="0" borderId="0" xfId="48" applyNumberFormat="1" applyFont="1" applyAlignment="1">
      <alignment shrinkToFit="1"/>
    </xf>
    <xf numFmtId="38" fontId="1" fillId="0" borderId="0" xfId="48" applyFont="1" applyAlignment="1">
      <alignment shrinkToFit="1"/>
    </xf>
    <xf numFmtId="0" fontId="0" fillId="0" borderId="0" xfId="0" applyAlignment="1">
      <alignment vertical="center" shrinkToFit="1"/>
    </xf>
    <xf numFmtId="0" fontId="1" fillId="0" borderId="10" xfId="0" applyNumberFormat="1" applyFont="1" applyBorder="1" applyAlignment="1">
      <alignment horizontal="center" vertical="center" shrinkToFit="1"/>
    </xf>
    <xf numFmtId="0" fontId="1" fillId="0" borderId="10" xfId="0" applyNumberFormat="1" applyFont="1" applyBorder="1" applyAlignment="1">
      <alignment horizontal="center" shrinkToFit="1"/>
    </xf>
    <xf numFmtId="177" fontId="1" fillId="0" borderId="10" xfId="48" applyNumberFormat="1" applyFont="1" applyBorder="1" applyAlignment="1">
      <alignment vertical="center" shrinkToFit="1"/>
    </xf>
    <xf numFmtId="38" fontId="1" fillId="0" borderId="10" xfId="48" applyFont="1" applyBorder="1" applyAlignment="1">
      <alignment vertical="center" shrinkToFit="1"/>
    </xf>
    <xf numFmtId="0" fontId="1" fillId="0" borderId="10" xfId="0" applyNumberFormat="1" applyFont="1" applyBorder="1" applyAlignment="1">
      <alignment vertical="center" shrinkToFit="1"/>
    </xf>
    <xf numFmtId="0" fontId="1" fillId="0" borderId="11" xfId="0" applyNumberFormat="1" applyFont="1" applyBorder="1" applyAlignment="1">
      <alignment horizontal="center" shrinkToFit="1"/>
    </xf>
    <xf numFmtId="177" fontId="1" fillId="0" borderId="11" xfId="48" applyNumberFormat="1" applyFont="1" applyBorder="1" applyAlignment="1">
      <alignment horizontal="center" shrinkToFit="1"/>
    </xf>
    <xf numFmtId="38" fontId="1" fillId="0" borderId="11" xfId="48" applyFont="1" applyBorder="1" applyAlignment="1">
      <alignment horizontal="center" shrinkToFit="1"/>
    </xf>
    <xf numFmtId="0" fontId="1" fillId="0" borderId="11" xfId="0" applyNumberFormat="1" applyFont="1" applyBorder="1" applyAlignment="1">
      <alignment horizontal="center" vertical="center" shrinkToFit="1"/>
    </xf>
    <xf numFmtId="177" fontId="1" fillId="0" borderId="11" xfId="48" applyNumberFormat="1" applyFont="1" applyBorder="1" applyAlignment="1">
      <alignment vertical="center" shrinkToFit="1"/>
    </xf>
    <xf numFmtId="38" fontId="1" fillId="0" borderId="11" xfId="48" applyFont="1" applyBorder="1" applyAlignment="1">
      <alignment vertical="center" shrinkToFit="1"/>
    </xf>
    <xf numFmtId="0" fontId="1" fillId="0" borderId="11" xfId="0" applyNumberFormat="1" applyFont="1" applyBorder="1" applyAlignment="1">
      <alignment vertical="center" shrinkToFit="1"/>
    </xf>
    <xf numFmtId="0" fontId="1" fillId="0" borderId="12" xfId="0" applyNumberFormat="1" applyFont="1" applyBorder="1" applyAlignment="1">
      <alignment horizontal="center" shrinkToFit="1"/>
    </xf>
    <xf numFmtId="0" fontId="1" fillId="0" borderId="12" xfId="0" applyNumberFormat="1" applyFont="1" applyBorder="1" applyAlignment="1">
      <alignment horizontal="center" vertical="center" shrinkToFit="1"/>
    </xf>
    <xf numFmtId="0" fontId="1" fillId="0" borderId="10" xfId="0" applyNumberFormat="1" applyFont="1" applyBorder="1" applyAlignment="1">
      <alignment horizontal="left" vertical="center" shrinkToFit="1"/>
    </xf>
    <xf numFmtId="0" fontId="4" fillId="0" borderId="10" xfId="0" applyNumberFormat="1" applyFont="1" applyBorder="1" applyAlignment="1">
      <alignment horizontal="left" vertical="center"/>
    </xf>
    <xf numFmtId="38" fontId="0" fillId="0" borderId="0" xfId="0" applyNumberFormat="1" applyAlignment="1">
      <alignment vertical="center" shrinkToFit="1"/>
    </xf>
    <xf numFmtId="38" fontId="1" fillId="0" borderId="12" xfId="48" applyFont="1" applyBorder="1" applyAlignment="1">
      <alignment vertical="center" shrinkToFit="1"/>
    </xf>
    <xf numFmtId="38" fontId="1" fillId="0" borderId="13" xfId="48" applyFont="1" applyBorder="1" applyAlignment="1">
      <alignment horizontal="center" shrinkToFit="1"/>
    </xf>
    <xf numFmtId="38" fontId="1" fillId="0" borderId="11" xfId="48" applyNumberFormat="1" applyFont="1" applyBorder="1" applyAlignment="1">
      <alignment vertical="center" shrinkToFit="1"/>
    </xf>
    <xf numFmtId="0" fontId="1" fillId="0" borderId="14" xfId="0" applyNumberFormat="1" applyFont="1" applyBorder="1" applyAlignment="1">
      <alignment horizontal="center" vertical="center" shrinkToFit="1"/>
    </xf>
    <xf numFmtId="177" fontId="1" fillId="0" borderId="14" xfId="48" applyNumberFormat="1" applyFont="1" applyBorder="1" applyAlignment="1">
      <alignment vertical="center" shrinkToFit="1"/>
    </xf>
    <xf numFmtId="38" fontId="1" fillId="0" borderId="14" xfId="48" applyFont="1" applyBorder="1" applyAlignment="1">
      <alignment vertical="center" shrinkToFit="1"/>
    </xf>
    <xf numFmtId="0" fontId="1" fillId="0" borderId="14" xfId="0" applyNumberFormat="1" applyFont="1" applyBorder="1" applyAlignment="1">
      <alignment vertical="center" shrinkToFit="1"/>
    </xf>
    <xf numFmtId="0" fontId="1" fillId="0" borderId="0" xfId="0" applyNumberFormat="1" applyFont="1" applyBorder="1" applyAlignment="1">
      <alignment horizontal="center" shrinkToFit="1"/>
    </xf>
    <xf numFmtId="0" fontId="1" fillId="0" borderId="0" xfId="0" applyNumberFormat="1" applyFont="1" applyBorder="1" applyAlignment="1">
      <alignment horizontal="center" vertical="center" shrinkToFit="1"/>
    </xf>
    <xf numFmtId="177" fontId="1" fillId="0" borderId="0" xfId="48" applyNumberFormat="1" applyFont="1" applyBorder="1" applyAlignment="1">
      <alignment vertical="center" shrinkToFit="1"/>
    </xf>
    <xf numFmtId="38" fontId="1" fillId="0" borderId="0" xfId="48" applyFont="1" applyBorder="1" applyAlignment="1">
      <alignment vertical="center" shrinkToFit="1"/>
    </xf>
    <xf numFmtId="0" fontId="1" fillId="0" borderId="0" xfId="0" applyNumberFormat="1" applyFont="1" applyBorder="1" applyAlignment="1">
      <alignment vertical="center" shrinkToFit="1"/>
    </xf>
    <xf numFmtId="38" fontId="1" fillId="0" borderId="15" xfId="48" applyFont="1" applyBorder="1" applyAlignment="1">
      <alignment vertical="center" shrinkToFit="1"/>
    </xf>
    <xf numFmtId="0" fontId="1" fillId="0" borderId="11" xfId="0" applyNumberFormat="1" applyFont="1" applyBorder="1" applyAlignment="1">
      <alignment vertical="center"/>
    </xf>
    <xf numFmtId="0" fontId="1" fillId="0" borderId="11" xfId="0" applyNumberFormat="1" applyFont="1" applyBorder="1" applyAlignment="1">
      <alignment horizontal="left"/>
    </xf>
    <xf numFmtId="177" fontId="1" fillId="33" borderId="16" xfId="48" applyNumberFormat="1" applyFont="1" applyFill="1" applyBorder="1" applyAlignment="1">
      <alignment vertical="center" shrinkToFit="1"/>
    </xf>
    <xf numFmtId="38" fontId="1" fillId="33" borderId="16" xfId="48" applyFont="1" applyFill="1" applyBorder="1" applyAlignment="1">
      <alignment vertical="center" shrinkToFit="1"/>
    </xf>
    <xf numFmtId="38" fontId="1" fillId="33" borderId="16" xfId="48" applyNumberFormat="1" applyFont="1" applyFill="1" applyBorder="1" applyAlignment="1">
      <alignment vertical="center" shrinkToFit="1"/>
    </xf>
    <xf numFmtId="38" fontId="0" fillId="0" borderId="0" xfId="48" applyFont="1" applyAlignment="1">
      <alignment vertical="center" shrinkToFit="1"/>
    </xf>
    <xf numFmtId="0" fontId="1" fillId="0" borderId="0" xfId="0" applyNumberFormat="1" applyFont="1" applyAlignment="1">
      <alignment horizontal="left"/>
    </xf>
    <xf numFmtId="38" fontId="1" fillId="0" borderId="11" xfId="48" applyFont="1" applyBorder="1" applyAlignment="1">
      <alignment vertical="center" shrinkToFit="1"/>
    </xf>
    <xf numFmtId="38" fontId="1" fillId="0" borderId="0" xfId="48" applyFont="1" applyAlignment="1">
      <alignment horizontal="right" shrinkToFit="1"/>
    </xf>
    <xf numFmtId="0" fontId="1" fillId="0" borderId="12" xfId="0" applyNumberFormat="1" applyFont="1" applyBorder="1" applyAlignment="1">
      <alignment vertical="center" shrinkToFit="1"/>
    </xf>
    <xf numFmtId="0" fontId="1" fillId="0" borderId="12" xfId="0" applyNumberFormat="1" applyFont="1" applyBorder="1" applyAlignment="1">
      <alignment horizontal="left"/>
    </xf>
    <xf numFmtId="0" fontId="4" fillId="0" borderId="11" xfId="0" applyNumberFormat="1" applyFont="1" applyBorder="1" applyAlignment="1">
      <alignment horizontal="left"/>
    </xf>
    <xf numFmtId="0" fontId="4" fillId="0" borderId="11" xfId="0" applyNumberFormat="1" applyFont="1" applyBorder="1" applyAlignment="1">
      <alignment horizontal="center" vertical="center" shrinkToFit="1"/>
    </xf>
    <xf numFmtId="38" fontId="4" fillId="0" borderId="11" xfId="48" applyNumberFormat="1" applyFont="1" applyBorder="1" applyAlignment="1">
      <alignment vertical="center" shrinkToFit="1"/>
    </xf>
    <xf numFmtId="38" fontId="4" fillId="0" borderId="11" xfId="48" applyFont="1" applyBorder="1" applyAlignment="1">
      <alignment vertical="center" shrinkToFit="1"/>
    </xf>
    <xf numFmtId="0" fontId="4" fillId="0" borderId="10" xfId="0" applyNumberFormat="1" applyFont="1" applyBorder="1" applyAlignment="1">
      <alignment horizontal="center" vertical="center" shrinkToFit="1"/>
    </xf>
    <xf numFmtId="177" fontId="4" fillId="33" borderId="16" xfId="48" applyNumberFormat="1" applyFont="1" applyFill="1" applyBorder="1" applyAlignment="1">
      <alignment vertical="center" shrinkToFit="1"/>
    </xf>
    <xf numFmtId="38" fontId="4" fillId="33" borderId="16" xfId="48" applyFont="1" applyFill="1" applyBorder="1" applyAlignment="1">
      <alignment vertical="center" shrinkToFit="1"/>
    </xf>
    <xf numFmtId="0" fontId="1" fillId="0" borderId="10" xfId="0" applyNumberFormat="1" applyFont="1" applyBorder="1" applyAlignment="1">
      <alignment horizontal="center" vertical="center" shrinkToFit="1"/>
    </xf>
    <xf numFmtId="0" fontId="1" fillId="0" borderId="11" xfId="0" applyNumberFormat="1" applyFont="1" applyBorder="1" applyAlignment="1">
      <alignment horizontal="center" vertical="center" shrinkToFit="1"/>
    </xf>
    <xf numFmtId="0" fontId="1" fillId="0" borderId="11" xfId="0" applyNumberFormat="1" applyFont="1" applyBorder="1" applyAlignment="1">
      <alignment horizontal="left" vertical="center" shrinkToFit="1"/>
    </xf>
    <xf numFmtId="40" fontId="1" fillId="0" borderId="11" xfId="48" applyNumberFormat="1" applyFont="1" applyBorder="1" applyAlignment="1">
      <alignment vertical="center" shrinkToFit="1"/>
    </xf>
    <xf numFmtId="0" fontId="1" fillId="0" borderId="11" xfId="0" applyNumberFormat="1" applyFont="1" applyBorder="1" applyAlignment="1">
      <alignment horizontal="left"/>
    </xf>
    <xf numFmtId="0" fontId="5" fillId="0" borderId="0" xfId="0" applyFont="1" applyAlignment="1">
      <alignment vertical="center" shrinkToFit="1"/>
    </xf>
    <xf numFmtId="0" fontId="4" fillId="0" borderId="12" xfId="0" applyNumberFormat="1" applyFont="1" applyBorder="1" applyAlignment="1">
      <alignment horizontal="center" vertical="center" shrinkToFit="1"/>
    </xf>
    <xf numFmtId="0" fontId="4" fillId="0" borderId="11" xfId="0" applyNumberFormat="1" applyFont="1" applyBorder="1" applyAlignment="1">
      <alignment vertical="center" shrinkToFit="1"/>
    </xf>
    <xf numFmtId="38" fontId="5" fillId="0" borderId="0" xfId="48" applyFont="1" applyAlignment="1">
      <alignment vertical="center" shrinkToFit="1"/>
    </xf>
    <xf numFmtId="0" fontId="4" fillId="0" borderId="11" xfId="0" applyNumberFormat="1" applyFont="1" applyBorder="1" applyAlignment="1">
      <alignment vertical="center"/>
    </xf>
    <xf numFmtId="38" fontId="1" fillId="0" borderId="0" xfId="48" applyFont="1" applyFill="1" applyAlignment="1">
      <alignment horizontal="right" shrinkToFit="1"/>
    </xf>
    <xf numFmtId="0" fontId="1" fillId="0" borderId="0" xfId="0" applyNumberFormat="1" applyFont="1" applyFill="1" applyAlignment="1">
      <alignment shrinkToFit="1"/>
    </xf>
    <xf numFmtId="0" fontId="4" fillId="0" borderId="11" xfId="0" applyNumberFormat="1" applyFont="1" applyBorder="1" applyAlignment="1">
      <alignment shrinkToFit="1"/>
    </xf>
    <xf numFmtId="0" fontId="5" fillId="0" borderId="0" xfId="0" applyFont="1" applyAlignment="1">
      <alignment horizontal="center" vertical="center" shrinkToFi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right" vertical="center" shrinkToFit="1"/>
    </xf>
    <xf numFmtId="0" fontId="6" fillId="0" borderId="0" xfId="0" applyFont="1" applyAlignment="1">
      <alignment vertical="center" shrinkToFit="1"/>
    </xf>
    <xf numFmtId="38" fontId="6" fillId="0" borderId="0" xfId="48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6" fillId="0" borderId="17" xfId="0" applyFont="1" applyBorder="1" applyAlignment="1">
      <alignment horizontal="center" vertical="center" shrinkToFit="1"/>
    </xf>
    <xf numFmtId="38" fontId="6" fillId="0" borderId="17" xfId="48" applyFont="1" applyBorder="1" applyAlignment="1">
      <alignment horizontal="center" vertical="center" shrinkToFit="1"/>
    </xf>
    <xf numFmtId="0" fontId="6" fillId="0" borderId="17" xfId="0" applyFont="1" applyBorder="1" applyAlignment="1">
      <alignment vertical="center" shrinkToFit="1"/>
    </xf>
    <xf numFmtId="38" fontId="6" fillId="0" borderId="17" xfId="48" applyFont="1" applyBorder="1" applyAlignment="1">
      <alignment vertical="center" shrinkToFit="1"/>
    </xf>
    <xf numFmtId="0" fontId="7" fillId="0" borderId="17" xfId="0" applyFont="1" applyBorder="1" applyAlignment="1">
      <alignment vertical="center" shrinkToFit="1"/>
    </xf>
    <xf numFmtId="38" fontId="7" fillId="0" borderId="17" xfId="48" applyFont="1" applyBorder="1" applyAlignment="1">
      <alignment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7" xfId="0" applyFont="1" applyBorder="1" applyAlignment="1">
      <alignment vertical="center" wrapText="1" shrinkToFit="1"/>
    </xf>
    <xf numFmtId="0" fontId="6" fillId="0" borderId="17" xfId="0" applyNumberFormat="1" applyFont="1" applyBorder="1" applyAlignment="1">
      <alignment vertical="center" shrinkToFit="1"/>
    </xf>
    <xf numFmtId="0" fontId="6" fillId="0" borderId="17" xfId="0" applyNumberFormat="1" applyFont="1" applyBorder="1" applyAlignment="1">
      <alignment horizontal="center" vertical="center" shrinkToFit="1"/>
    </xf>
    <xf numFmtId="40" fontId="6" fillId="0" borderId="17" xfId="0" applyNumberFormat="1" applyFont="1" applyBorder="1" applyAlignment="1">
      <alignment vertical="center" shrinkToFit="1"/>
    </xf>
    <xf numFmtId="38" fontId="6" fillId="0" borderId="17" xfId="0" applyNumberFormat="1" applyFont="1" applyBorder="1" applyAlignment="1">
      <alignment vertical="center" shrinkToFit="1"/>
    </xf>
    <xf numFmtId="38" fontId="6" fillId="0" borderId="18" xfId="48" applyFont="1" applyBorder="1" applyAlignment="1">
      <alignment vertical="center" shrinkToFit="1"/>
    </xf>
    <xf numFmtId="38" fontId="6" fillId="0" borderId="11" xfId="48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38" fontId="6" fillId="0" borderId="19" xfId="48" applyFont="1" applyBorder="1" applyAlignment="1">
      <alignment vertical="center" shrinkToFit="1"/>
    </xf>
    <xf numFmtId="0" fontId="6" fillId="0" borderId="20" xfId="0" applyFont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38" fontId="7" fillId="0" borderId="11" xfId="48" applyFont="1" applyBorder="1" applyAlignment="1">
      <alignment vertical="center" shrinkToFit="1"/>
    </xf>
    <xf numFmtId="0" fontId="6" fillId="0" borderId="21" xfId="0" applyFont="1" applyBorder="1" applyAlignment="1">
      <alignment vertical="center" shrinkToFit="1"/>
    </xf>
    <xf numFmtId="38" fontId="6" fillId="0" borderId="21" xfId="48" applyFont="1" applyBorder="1" applyAlignment="1">
      <alignment vertical="center" shrinkToFit="1"/>
    </xf>
    <xf numFmtId="38" fontId="7" fillId="34" borderId="11" xfId="48" applyFont="1" applyFill="1" applyBorder="1" applyAlignment="1">
      <alignment vertical="center" shrinkToFit="1"/>
    </xf>
    <xf numFmtId="0" fontId="7" fillId="0" borderId="17" xfId="0" applyFont="1" applyBorder="1" applyAlignment="1">
      <alignment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7" fillId="0" borderId="0" xfId="0" applyFont="1" applyAlignment="1">
      <alignment vertical="center"/>
    </xf>
    <xf numFmtId="0" fontId="6" fillId="0" borderId="17" xfId="0" applyFont="1" applyBorder="1" applyAlignment="1">
      <alignment vertical="center" wrapText="1" shrinkToFit="1"/>
    </xf>
    <xf numFmtId="0" fontId="6" fillId="0" borderId="0" xfId="0" applyFont="1" applyBorder="1" applyAlignment="1">
      <alignment vertical="center" shrinkToFit="1"/>
    </xf>
    <xf numFmtId="38" fontId="6" fillId="0" borderId="0" xfId="48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38" fontId="7" fillId="0" borderId="0" xfId="48" applyFont="1" applyBorder="1" applyAlignment="1">
      <alignment vertical="center" shrinkToFit="1"/>
    </xf>
    <xf numFmtId="0" fontId="6" fillId="35" borderId="17" xfId="0" applyFont="1" applyFill="1" applyBorder="1" applyAlignment="1">
      <alignment vertical="center" shrinkToFit="1"/>
    </xf>
    <xf numFmtId="38" fontId="6" fillId="35" borderId="17" xfId="48" applyFont="1" applyFill="1" applyBorder="1" applyAlignment="1">
      <alignment vertical="center" shrinkToFit="1"/>
    </xf>
    <xf numFmtId="0" fontId="6" fillId="35" borderId="10" xfId="0" applyFont="1" applyFill="1" applyBorder="1" applyAlignment="1">
      <alignment vertical="center" shrinkToFit="1"/>
    </xf>
    <xf numFmtId="38" fontId="60" fillId="0" borderId="17" xfId="48" applyFont="1" applyBorder="1" applyAlignment="1">
      <alignment vertical="center" shrinkToFit="1"/>
    </xf>
    <xf numFmtId="38" fontId="60" fillId="0" borderId="17" xfId="0" applyNumberFormat="1" applyFont="1" applyBorder="1" applyAlignment="1">
      <alignment vertical="center" shrinkToFit="1"/>
    </xf>
    <xf numFmtId="38" fontId="60" fillId="35" borderId="17" xfId="0" applyNumberFormat="1" applyFont="1" applyFill="1" applyBorder="1" applyAlignment="1">
      <alignment vertical="center" shrinkToFit="1"/>
    </xf>
    <xf numFmtId="38" fontId="7" fillId="36" borderId="17" xfId="48" applyFont="1" applyFill="1" applyBorder="1" applyAlignment="1">
      <alignment vertical="center" shrinkToFit="1"/>
    </xf>
    <xf numFmtId="0" fontId="7" fillId="36" borderId="17" xfId="0" applyFont="1" applyFill="1" applyBorder="1" applyAlignment="1">
      <alignment vertical="center"/>
    </xf>
    <xf numFmtId="0" fontId="7" fillId="36" borderId="17" xfId="0" applyFont="1" applyFill="1" applyBorder="1" applyAlignment="1">
      <alignment vertical="center" shrinkToFit="1"/>
    </xf>
    <xf numFmtId="0" fontId="61" fillId="0" borderId="0" xfId="0" applyFont="1" applyBorder="1" applyAlignment="1">
      <alignment vertical="center"/>
    </xf>
    <xf numFmtId="38" fontId="62" fillId="36" borderId="17" xfId="48" applyFont="1" applyFill="1" applyBorder="1" applyAlignment="1">
      <alignment vertical="center" shrinkToFit="1"/>
    </xf>
    <xf numFmtId="0" fontId="62" fillId="36" borderId="17" xfId="0" applyFont="1" applyFill="1" applyBorder="1" applyAlignment="1">
      <alignment vertical="center" shrinkToFit="1"/>
    </xf>
    <xf numFmtId="0" fontId="61" fillId="0" borderId="0" xfId="0" applyFont="1" applyAlignment="1">
      <alignment vertical="center"/>
    </xf>
    <xf numFmtId="38" fontId="61" fillId="0" borderId="17" xfId="48" applyFont="1" applyBorder="1" applyAlignment="1">
      <alignment vertical="center" shrinkToFit="1"/>
    </xf>
    <xf numFmtId="38" fontId="61" fillId="35" borderId="17" xfId="48" applyFont="1" applyFill="1" applyBorder="1" applyAlignment="1">
      <alignment vertical="center" shrinkToFit="1"/>
    </xf>
    <xf numFmtId="38" fontId="61" fillId="35" borderId="10" xfId="48" applyFont="1" applyFill="1" applyBorder="1" applyAlignment="1">
      <alignment vertical="center" shrinkToFit="1"/>
    </xf>
    <xf numFmtId="0" fontId="7" fillId="37" borderId="0" xfId="0" applyFont="1" applyFill="1" applyAlignment="1">
      <alignment vertical="center"/>
    </xf>
    <xf numFmtId="0" fontId="7" fillId="37" borderId="0" xfId="0" applyFont="1" applyFill="1" applyBorder="1" applyAlignment="1">
      <alignment vertical="center" shrinkToFit="1"/>
    </xf>
    <xf numFmtId="38" fontId="7" fillId="37" borderId="0" xfId="48" applyFont="1" applyFill="1" applyBorder="1" applyAlignment="1">
      <alignment vertical="center" shrinkToFit="1"/>
    </xf>
    <xf numFmtId="38" fontId="1" fillId="0" borderId="11" xfId="48" applyFont="1" applyFill="1" applyBorder="1" applyAlignment="1">
      <alignment vertical="center" shrinkToFit="1"/>
    </xf>
    <xf numFmtId="38" fontId="7" fillId="0" borderId="17" xfId="0" applyNumberFormat="1" applyFont="1" applyBorder="1" applyAlignment="1">
      <alignment vertical="center" shrinkToFit="1"/>
    </xf>
    <xf numFmtId="38" fontId="7" fillId="0" borderId="17" xfId="48" applyFont="1" applyFill="1" applyBorder="1" applyAlignment="1">
      <alignment vertical="center" shrinkToFit="1"/>
    </xf>
    <xf numFmtId="0" fontId="6" fillId="38" borderId="17" xfId="0" applyFont="1" applyFill="1" applyBorder="1" applyAlignment="1">
      <alignment vertical="center" shrinkToFit="1"/>
    </xf>
    <xf numFmtId="38" fontId="6" fillId="38" borderId="17" xfId="0" applyNumberFormat="1" applyFont="1" applyFill="1" applyBorder="1" applyAlignment="1">
      <alignment vertical="center" shrinkToFit="1"/>
    </xf>
    <xf numFmtId="38" fontId="6" fillId="38" borderId="17" xfId="48" applyFont="1" applyFill="1" applyBorder="1" applyAlignment="1">
      <alignment vertical="center" shrinkToFit="1"/>
    </xf>
    <xf numFmtId="38" fontId="6" fillId="38" borderId="10" xfId="48" applyFont="1" applyFill="1" applyBorder="1" applyAlignment="1">
      <alignment vertical="center" shrinkToFit="1"/>
    </xf>
    <xf numFmtId="0" fontId="6" fillId="38" borderId="10" xfId="0" applyFont="1" applyFill="1" applyBorder="1" applyAlignment="1">
      <alignment vertical="center" shrinkToFit="1"/>
    </xf>
    <xf numFmtId="0" fontId="7" fillId="0" borderId="22" xfId="0" applyFont="1" applyBorder="1" applyAlignment="1">
      <alignment vertical="center" shrinkToFit="1"/>
    </xf>
    <xf numFmtId="0" fontId="7" fillId="0" borderId="23" xfId="0" applyFont="1" applyBorder="1" applyAlignment="1">
      <alignment vertical="center" shrinkToFit="1"/>
    </xf>
    <xf numFmtId="38" fontId="7" fillId="0" borderId="23" xfId="48" applyFont="1" applyBorder="1" applyAlignment="1">
      <alignment vertical="center" shrinkToFit="1"/>
    </xf>
    <xf numFmtId="38" fontId="7" fillId="34" borderId="23" xfId="48" applyFont="1" applyFill="1" applyBorder="1" applyAlignment="1">
      <alignment vertical="center" shrinkToFit="1"/>
    </xf>
    <xf numFmtId="0" fontId="7" fillId="0" borderId="24" xfId="0" applyFont="1" applyBorder="1" applyAlignment="1">
      <alignment vertical="center" shrinkToFit="1"/>
    </xf>
    <xf numFmtId="0" fontId="1" fillId="0" borderId="10" xfId="0" applyNumberFormat="1" applyFont="1" applyFill="1" applyBorder="1" applyAlignment="1">
      <alignment horizontal="center" vertical="center" shrinkToFit="1"/>
    </xf>
    <xf numFmtId="0" fontId="1" fillId="0" borderId="11" xfId="0" applyNumberFormat="1" applyFont="1" applyFill="1" applyBorder="1" applyAlignment="1">
      <alignment horizontal="center" vertical="center" shrinkToFit="1"/>
    </xf>
    <xf numFmtId="0" fontId="1" fillId="28" borderId="10" xfId="0" applyNumberFormat="1" applyFont="1" applyFill="1" applyBorder="1" applyAlignment="1">
      <alignment horizontal="center" vertical="center" shrinkToFit="1"/>
    </xf>
    <xf numFmtId="0" fontId="1" fillId="28" borderId="11" xfId="0" applyNumberFormat="1" applyFont="1" applyFill="1" applyBorder="1" applyAlignment="1">
      <alignment horizontal="center" vertical="center" shrinkToFit="1"/>
    </xf>
    <xf numFmtId="38" fontId="1" fillId="28" borderId="11" xfId="48" applyNumberFormat="1" applyFont="1" applyFill="1" applyBorder="1" applyAlignment="1">
      <alignment vertical="center" shrinkToFit="1"/>
    </xf>
    <xf numFmtId="38" fontId="1" fillId="28" borderId="11" xfId="48" applyFont="1" applyFill="1" applyBorder="1" applyAlignment="1">
      <alignment vertical="center" shrinkToFit="1"/>
    </xf>
    <xf numFmtId="0" fontId="1" fillId="28" borderId="10" xfId="0" applyNumberFormat="1" applyFont="1" applyFill="1" applyBorder="1" applyAlignment="1">
      <alignment horizontal="center" vertical="center" shrinkToFit="1"/>
    </xf>
    <xf numFmtId="0" fontId="1" fillId="28" borderId="11" xfId="0" applyNumberFormat="1" applyFont="1" applyFill="1" applyBorder="1" applyAlignment="1">
      <alignment horizontal="center" vertical="center" shrinkToFit="1"/>
    </xf>
    <xf numFmtId="38" fontId="1" fillId="28" borderId="11" xfId="48" applyFont="1" applyFill="1" applyBorder="1" applyAlignment="1">
      <alignment vertical="center" shrinkToFit="1"/>
    </xf>
    <xf numFmtId="38" fontId="4" fillId="28" borderId="11" xfId="48" applyFont="1" applyFill="1" applyBorder="1" applyAlignment="1">
      <alignment vertical="center" shrinkToFit="1"/>
    </xf>
    <xf numFmtId="0" fontId="1" fillId="28" borderId="11" xfId="0" applyNumberFormat="1" applyFont="1" applyFill="1" applyBorder="1" applyAlignment="1">
      <alignment horizontal="left" vertical="center" shrinkToFit="1"/>
    </xf>
    <xf numFmtId="0" fontId="1" fillId="28" borderId="11" xfId="0" applyNumberFormat="1" applyFont="1" applyFill="1" applyBorder="1" applyAlignment="1">
      <alignment vertical="center" shrinkToFit="1"/>
    </xf>
    <xf numFmtId="0" fontId="1" fillId="28" borderId="12" xfId="0" applyNumberFormat="1" applyFont="1" applyFill="1" applyBorder="1" applyAlignment="1">
      <alignment vertical="center" shrinkToFit="1"/>
    </xf>
    <xf numFmtId="0" fontId="1" fillId="28" borderId="12" xfId="0" applyNumberFormat="1" applyFont="1" applyFill="1" applyBorder="1" applyAlignment="1">
      <alignment horizontal="center" vertical="center" shrinkToFit="1"/>
    </xf>
    <xf numFmtId="0" fontId="1" fillId="28" borderId="10" xfId="0" applyNumberFormat="1" applyFont="1" applyFill="1" applyBorder="1" applyAlignment="1">
      <alignment vertical="center" shrinkToFit="1"/>
    </xf>
    <xf numFmtId="0" fontId="1" fillId="0" borderId="10" xfId="0" applyNumberFormat="1" applyFont="1" applyFill="1" applyBorder="1" applyAlignment="1">
      <alignment vertical="center" shrinkToFit="1"/>
    </xf>
    <xf numFmtId="0" fontId="1" fillId="0" borderId="11" xfId="0" applyNumberFormat="1" applyFont="1" applyFill="1" applyBorder="1" applyAlignment="1">
      <alignment vertical="center" shrinkToFit="1"/>
    </xf>
    <xf numFmtId="40" fontId="1" fillId="28" borderId="11" xfId="48" applyNumberFormat="1" applyFont="1" applyFill="1" applyBorder="1" applyAlignment="1">
      <alignment vertical="center" shrinkToFit="1"/>
    </xf>
    <xf numFmtId="0" fontId="4" fillId="28" borderId="10" xfId="0" applyNumberFormat="1" applyFont="1" applyFill="1" applyBorder="1" applyAlignment="1">
      <alignment horizontal="center" vertical="center" shrinkToFit="1"/>
    </xf>
    <xf numFmtId="0" fontId="4" fillId="28" borderId="11" xfId="0" applyNumberFormat="1" applyFont="1" applyFill="1" applyBorder="1" applyAlignment="1">
      <alignment horizontal="center" vertical="center" shrinkToFit="1"/>
    </xf>
    <xf numFmtId="38" fontId="4" fillId="28" borderId="11" xfId="48" applyNumberFormat="1" applyFont="1" applyFill="1" applyBorder="1" applyAlignment="1">
      <alignment vertical="center" shrinkToFit="1"/>
    </xf>
    <xf numFmtId="177" fontId="1" fillId="28" borderId="11" xfId="48" applyNumberFormat="1" applyFont="1" applyFill="1" applyBorder="1" applyAlignment="1">
      <alignment vertical="center" shrinkToFit="1"/>
    </xf>
    <xf numFmtId="0" fontId="1" fillId="0" borderId="10" xfId="0" applyNumberFormat="1" applyFont="1" applyBorder="1" applyAlignment="1">
      <alignment vertical="center" shrinkToFit="1"/>
    </xf>
    <xf numFmtId="0" fontId="1" fillId="0" borderId="11" xfId="0" applyNumberFormat="1" applyFont="1" applyBorder="1" applyAlignment="1">
      <alignment vertical="center" shrinkToFit="1"/>
    </xf>
    <xf numFmtId="0" fontId="1" fillId="0" borderId="12" xfId="0" applyNumberFormat="1" applyFont="1" applyBorder="1" applyAlignment="1">
      <alignment vertical="center" shrinkToFit="1"/>
    </xf>
    <xf numFmtId="0" fontId="1" fillId="28" borderId="10" xfId="0" applyNumberFormat="1" applyFont="1" applyFill="1" applyBorder="1" applyAlignment="1">
      <alignment vertical="center" shrinkToFit="1"/>
    </xf>
    <xf numFmtId="0" fontId="1" fillId="28" borderId="11" xfId="0" applyNumberFormat="1" applyFont="1" applyFill="1" applyBorder="1" applyAlignment="1">
      <alignment vertical="center" shrinkToFit="1"/>
    </xf>
    <xf numFmtId="0" fontId="63" fillId="28" borderId="11" xfId="0" applyNumberFormat="1" applyFont="1" applyFill="1" applyBorder="1" applyAlignment="1">
      <alignment vertical="center" shrinkToFit="1"/>
    </xf>
    <xf numFmtId="38" fontId="1" fillId="28" borderId="12" xfId="48" applyFont="1" applyFill="1" applyBorder="1" applyAlignment="1">
      <alignment vertical="center" shrinkToFit="1"/>
    </xf>
    <xf numFmtId="38" fontId="1" fillId="28" borderId="15" xfId="48" applyFont="1" applyFill="1" applyBorder="1" applyAlignment="1">
      <alignment vertical="center" shrinkToFit="1"/>
    </xf>
    <xf numFmtId="0" fontId="63" fillId="0" borderId="0" xfId="0" applyFont="1" applyAlignment="1">
      <alignment vertical="center"/>
    </xf>
    <xf numFmtId="38" fontId="63" fillId="0" borderId="0" xfId="48" applyFont="1" applyAlignment="1">
      <alignment vertical="center"/>
    </xf>
    <xf numFmtId="0" fontId="63" fillId="0" borderId="0" xfId="0" applyFont="1" applyAlignment="1">
      <alignment horizontal="right" vertical="center"/>
    </xf>
    <xf numFmtId="0" fontId="63" fillId="0" borderId="0" xfId="0" applyFont="1" applyAlignment="1">
      <alignment vertical="center"/>
    </xf>
    <xf numFmtId="38" fontId="7" fillId="28" borderId="11" xfId="48" applyFont="1" applyFill="1" applyBorder="1" applyAlignment="1">
      <alignment vertical="center" shrinkToFit="1"/>
    </xf>
    <xf numFmtId="38" fontId="7" fillId="0" borderId="18" xfId="48" applyFont="1" applyBorder="1" applyAlignment="1">
      <alignment vertical="center" shrinkToFit="1"/>
    </xf>
    <xf numFmtId="0" fontId="7" fillId="0" borderId="25" xfId="0" applyFont="1" applyBorder="1" applyAlignment="1">
      <alignment vertical="center" shrinkToFit="1"/>
    </xf>
    <xf numFmtId="38" fontId="7" fillId="28" borderId="25" xfId="48" applyFont="1" applyFill="1" applyBorder="1" applyAlignment="1">
      <alignment vertical="center" shrinkToFit="1"/>
    </xf>
    <xf numFmtId="0" fontId="7" fillId="0" borderId="0" xfId="0" applyFont="1" applyBorder="1" applyAlignment="1">
      <alignment vertical="center" wrapText="1" shrinkToFit="1"/>
    </xf>
    <xf numFmtId="0" fontId="7" fillId="0" borderId="0" xfId="0" applyFont="1" applyBorder="1" applyAlignment="1">
      <alignment horizontal="center" vertical="center" shrinkToFit="1"/>
    </xf>
    <xf numFmtId="0" fontId="6" fillId="0" borderId="0" xfId="0" applyNumberFormat="1" applyFont="1" applyBorder="1" applyAlignment="1">
      <alignment vertical="center" shrinkToFit="1"/>
    </xf>
    <xf numFmtId="0" fontId="6" fillId="0" borderId="0" xfId="0" applyNumberFormat="1" applyFont="1" applyBorder="1" applyAlignment="1">
      <alignment horizontal="center" vertical="center" shrinkToFit="1"/>
    </xf>
    <xf numFmtId="40" fontId="6" fillId="0" borderId="0" xfId="0" applyNumberFormat="1" applyFont="1" applyBorder="1" applyAlignment="1">
      <alignment vertical="center" shrinkToFit="1"/>
    </xf>
    <xf numFmtId="38" fontId="7" fillId="39" borderId="23" xfId="48" applyFont="1" applyFill="1" applyBorder="1" applyAlignment="1">
      <alignment vertical="center" shrinkToFit="1"/>
    </xf>
    <xf numFmtId="0" fontId="7" fillId="39" borderId="24" xfId="0" applyFont="1" applyFill="1" applyBorder="1" applyAlignment="1">
      <alignment vertical="center" shrinkToFit="1"/>
    </xf>
    <xf numFmtId="38" fontId="7" fillId="28" borderId="17" xfId="48" applyFont="1" applyFill="1" applyBorder="1" applyAlignment="1">
      <alignment vertical="center" shrinkToFit="1"/>
    </xf>
    <xf numFmtId="0" fontId="64" fillId="0" borderId="0" xfId="0" applyFont="1" applyBorder="1" applyAlignment="1">
      <alignment vertical="center"/>
    </xf>
    <xf numFmtId="177" fontId="6" fillId="0" borderId="17" xfId="48" applyNumberFormat="1" applyFont="1" applyBorder="1" applyAlignment="1">
      <alignment vertical="center" shrinkToFit="1"/>
    </xf>
    <xf numFmtId="38" fontId="6" fillId="0" borderId="17" xfId="48" applyNumberFormat="1" applyFont="1" applyBorder="1" applyAlignment="1">
      <alignment vertical="center" shrinkToFit="1"/>
    </xf>
    <xf numFmtId="0" fontId="7" fillId="37" borderId="17" xfId="0" applyFont="1" applyFill="1" applyBorder="1" applyAlignment="1">
      <alignment vertical="center"/>
    </xf>
    <xf numFmtId="0" fontId="7" fillId="37" borderId="17" xfId="0" applyFont="1" applyFill="1" applyBorder="1" applyAlignment="1">
      <alignment vertical="center" shrinkToFit="1"/>
    </xf>
    <xf numFmtId="38" fontId="7" fillId="37" borderId="17" xfId="48" applyFont="1" applyFill="1" applyBorder="1" applyAlignment="1">
      <alignment horizontal="right" vertical="center"/>
    </xf>
    <xf numFmtId="38" fontId="7" fillId="0" borderId="0" xfId="48" applyFont="1" applyAlignment="1">
      <alignment vertical="center" shrinkToFit="1"/>
    </xf>
    <xf numFmtId="38" fontId="65" fillId="36" borderId="17" xfId="48" applyFont="1" applyFill="1" applyBorder="1" applyAlignment="1">
      <alignment vertical="center" shrinkToFit="1"/>
    </xf>
    <xf numFmtId="0" fontId="7" fillId="28" borderId="17" xfId="0" applyFont="1" applyFill="1" applyBorder="1" applyAlignment="1">
      <alignment horizontal="center" vertical="center" shrinkToFit="1"/>
    </xf>
    <xf numFmtId="0" fontId="7" fillId="36" borderId="17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67" fillId="0" borderId="14" xfId="0" applyNumberFormat="1" applyFont="1" applyBorder="1" applyAlignment="1">
      <alignment vertical="center" wrapText="1" shrinkToFit="1"/>
    </xf>
    <xf numFmtId="0" fontId="67" fillId="0" borderId="14" xfId="0" applyNumberFormat="1" applyFont="1" applyBorder="1" applyAlignment="1">
      <alignment vertical="center" shrinkToFit="1"/>
    </xf>
    <xf numFmtId="0" fontId="67" fillId="0" borderId="0" xfId="0" applyNumberFormat="1" applyFont="1" applyBorder="1" applyAlignment="1">
      <alignment vertical="center" shrinkToFit="1"/>
    </xf>
    <xf numFmtId="0" fontId="7" fillId="0" borderId="18" xfId="0" applyFont="1" applyBorder="1" applyAlignment="1">
      <alignment vertical="center" shrinkToFit="1"/>
    </xf>
    <xf numFmtId="0" fontId="7" fillId="0" borderId="26" xfId="0" applyFont="1" applyBorder="1" applyAlignment="1">
      <alignment vertical="center" shrinkToFit="1"/>
    </xf>
    <xf numFmtId="0" fontId="7" fillId="0" borderId="27" xfId="0" applyFont="1" applyBorder="1" applyAlignment="1">
      <alignment vertical="center" shrinkToFit="1"/>
    </xf>
    <xf numFmtId="0" fontId="8" fillId="34" borderId="18" xfId="0" applyFont="1" applyFill="1" applyBorder="1" applyAlignment="1">
      <alignment horizontal="center" vertical="center" shrinkToFit="1"/>
    </xf>
    <xf numFmtId="0" fontId="8" fillId="34" borderId="26" xfId="0" applyFont="1" applyFill="1" applyBorder="1" applyAlignment="1">
      <alignment horizontal="center" vertical="center" shrinkToFit="1"/>
    </xf>
    <xf numFmtId="0" fontId="8" fillId="34" borderId="27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0" xfId="0" applyFont="1" applyBorder="1" applyAlignment="1">
      <alignment vertical="center" wrapText="1" shrinkToFit="1"/>
    </xf>
    <xf numFmtId="0" fontId="7" fillId="0" borderId="11" xfId="0" applyFont="1" applyBorder="1" applyAlignment="1">
      <alignment vertical="center" shrinkToFit="1"/>
    </xf>
    <xf numFmtId="0" fontId="8" fillId="34" borderId="17" xfId="0" applyFont="1" applyFill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68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542925</xdr:colOff>
      <xdr:row>15</xdr:row>
      <xdr:rowOff>123825</xdr:rowOff>
    </xdr:from>
    <xdr:to>
      <xdr:col>16</xdr:col>
      <xdr:colOff>828675</xdr:colOff>
      <xdr:row>15</xdr:row>
      <xdr:rowOff>123825</xdr:rowOff>
    </xdr:to>
    <xdr:sp>
      <xdr:nvSpPr>
        <xdr:cNvPr id="1" name="直線コネクタ 1"/>
        <xdr:cNvSpPr>
          <a:spLocks/>
        </xdr:cNvSpPr>
      </xdr:nvSpPr>
      <xdr:spPr>
        <a:xfrm>
          <a:off x="7210425" y="3867150"/>
          <a:ext cx="673417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19</xdr:row>
      <xdr:rowOff>57150</xdr:rowOff>
    </xdr:from>
    <xdr:to>
      <xdr:col>8</xdr:col>
      <xdr:colOff>514350</xdr:colOff>
      <xdr:row>25</xdr:row>
      <xdr:rowOff>28575</xdr:rowOff>
    </xdr:to>
    <xdr:sp>
      <xdr:nvSpPr>
        <xdr:cNvPr id="2" name="右矢印 2"/>
        <xdr:cNvSpPr>
          <a:spLocks/>
        </xdr:cNvSpPr>
      </xdr:nvSpPr>
      <xdr:spPr>
        <a:xfrm>
          <a:off x="6772275" y="4752975"/>
          <a:ext cx="409575" cy="1400175"/>
        </a:xfrm>
        <a:prstGeom prst="rightArrow">
          <a:avLst>
            <a:gd name="adj" fmla="val 0"/>
          </a:avLst>
        </a:prstGeom>
        <a:solidFill>
          <a:srgbClr val="C6D9F1"/>
        </a:solidFill>
        <a:ln w="25400" cmpd="sng">
          <a:solidFill>
            <a:srgbClr val="8EB4E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zoomScalePageLayoutView="0" workbookViewId="0" topLeftCell="A1">
      <selection activeCell="N13" sqref="N13"/>
    </sheetView>
  </sheetViews>
  <sheetFormatPr defaultColWidth="9.00390625" defaultRowHeight="13.5"/>
  <cols>
    <col min="1" max="1" width="4.25390625" style="0" customWidth="1"/>
  </cols>
  <sheetData>
    <row r="1" ht="13.5">
      <c r="A1" t="s">
        <v>270</v>
      </c>
    </row>
    <row r="3" ht="13.5">
      <c r="A3" t="s">
        <v>271</v>
      </c>
    </row>
    <row r="4" ht="13.5">
      <c r="A4" t="s">
        <v>278</v>
      </c>
    </row>
    <row r="5" ht="13.5">
      <c r="A5" t="s">
        <v>269</v>
      </c>
    </row>
    <row r="7" ht="13.5">
      <c r="A7" t="s">
        <v>272</v>
      </c>
    </row>
    <row r="10" ht="16.5" customHeight="1">
      <c r="A10" t="s">
        <v>273</v>
      </c>
    </row>
    <row r="11" ht="16.5" customHeight="1">
      <c r="B11" s="214" t="s">
        <v>277</v>
      </c>
    </row>
    <row r="12" ht="16.5" customHeight="1">
      <c r="B12" t="s">
        <v>274</v>
      </c>
    </row>
    <row r="13" ht="16.5" customHeight="1">
      <c r="B13" t="s">
        <v>275</v>
      </c>
    </row>
    <row r="14" ht="16.5" customHeight="1">
      <c r="B14" t="s">
        <v>276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view="pageBreakPreview" zoomScaleSheetLayoutView="100" zoomScalePageLayoutView="0" workbookViewId="0" topLeftCell="A1">
      <selection activeCell="R24" sqref="R24"/>
    </sheetView>
  </sheetViews>
  <sheetFormatPr defaultColWidth="9.00390625" defaultRowHeight="13.5"/>
  <sheetData>
    <row r="2" spans="3:7" ht="12.75" customHeight="1">
      <c r="C2" s="196" t="s">
        <v>264</v>
      </c>
      <c r="D2" s="196"/>
      <c r="E2" s="196"/>
      <c r="F2" s="196"/>
      <c r="G2" s="196"/>
    </row>
    <row r="3" spans="3:7" ht="12.75" customHeight="1">
      <c r="C3" s="196"/>
      <c r="D3" s="196"/>
      <c r="E3" s="196"/>
      <c r="F3" s="196"/>
      <c r="G3" s="196"/>
    </row>
    <row r="5" spans="4:7" ht="12.75" customHeight="1">
      <c r="D5" s="195" t="s">
        <v>97</v>
      </c>
      <c r="E5" s="195"/>
      <c r="F5" s="195"/>
      <c r="G5" s="70"/>
    </row>
    <row r="6" spans="4:7" ht="12.75" customHeight="1">
      <c r="D6" s="195"/>
      <c r="E6" s="195"/>
      <c r="F6" s="195"/>
      <c r="G6" s="70"/>
    </row>
    <row r="7" s="68" customFormat="1" ht="14.25"/>
    <row r="8" s="68" customFormat="1" ht="14.25"/>
    <row r="9" s="68" customFormat="1" ht="14.25"/>
    <row r="10" s="68" customFormat="1" ht="14.25">
      <c r="I10" s="69" t="s">
        <v>240</v>
      </c>
    </row>
    <row r="11" s="68" customFormat="1" ht="14.25"/>
    <row r="12" s="68" customFormat="1" ht="14.25">
      <c r="A12" s="68" t="s">
        <v>59</v>
      </c>
    </row>
    <row r="13" s="68" customFormat="1" ht="14.25"/>
    <row r="14" s="68" customFormat="1" ht="14.25">
      <c r="G14" s="169" t="s">
        <v>98</v>
      </c>
    </row>
    <row r="15" s="68" customFormat="1" ht="14.25">
      <c r="G15" s="169" t="s">
        <v>60</v>
      </c>
    </row>
    <row r="16" s="68" customFormat="1" ht="14.25"/>
    <row r="17" s="68" customFormat="1" ht="14.25"/>
    <row r="18" spans="1:5" s="68" customFormat="1" ht="14.25">
      <c r="A18" s="68" t="s">
        <v>11</v>
      </c>
      <c r="B18" s="68" t="s">
        <v>61</v>
      </c>
      <c r="E18" s="169" t="s">
        <v>62</v>
      </c>
    </row>
    <row r="19" s="68" customFormat="1" ht="14.25"/>
    <row r="20" spans="2:5" s="68" customFormat="1" ht="14.25">
      <c r="B20" s="68" t="s">
        <v>63</v>
      </c>
      <c r="E20" s="68" t="s">
        <v>64</v>
      </c>
    </row>
    <row r="21" s="68" customFormat="1" ht="14.25"/>
    <row r="22" spans="2:5" s="68" customFormat="1" ht="14.25">
      <c r="B22" s="68" t="s">
        <v>65</v>
      </c>
      <c r="E22" s="68" t="s">
        <v>241</v>
      </c>
    </row>
    <row r="23" s="68" customFormat="1" ht="14.25"/>
    <row r="24" spans="2:6" s="68" customFormat="1" ht="14.25">
      <c r="B24" s="68" t="s">
        <v>66</v>
      </c>
      <c r="E24" s="170">
        <v>3700</v>
      </c>
      <c r="F24" s="68" t="s">
        <v>37</v>
      </c>
    </row>
    <row r="25" s="68" customFormat="1" ht="14.25"/>
    <row r="26" spans="2:9" s="68" customFormat="1" ht="14.25">
      <c r="B26" s="68" t="s">
        <v>67</v>
      </c>
      <c r="E26" s="170">
        <v>3700</v>
      </c>
      <c r="F26" s="68" t="s">
        <v>37</v>
      </c>
      <c r="G26" s="169"/>
      <c r="H26" s="171" t="s">
        <v>58</v>
      </c>
      <c r="I26" s="68" t="s">
        <v>68</v>
      </c>
    </row>
    <row r="27" s="68" customFormat="1" ht="14.25">
      <c r="G27" s="68" t="s">
        <v>242</v>
      </c>
    </row>
    <row r="28" s="68" customFormat="1" ht="14.25"/>
    <row r="29" spans="2:5" s="68" customFormat="1" ht="14.25">
      <c r="B29" s="68" t="s">
        <v>243</v>
      </c>
      <c r="E29" s="172" t="s">
        <v>99</v>
      </c>
    </row>
    <row r="30" s="68" customFormat="1" ht="14.25"/>
    <row r="31" spans="2:5" s="68" customFormat="1" ht="14.25">
      <c r="B31" s="68" t="s">
        <v>100</v>
      </c>
      <c r="E31" s="169" t="s">
        <v>101</v>
      </c>
    </row>
    <row r="32" s="68" customFormat="1" ht="14.25">
      <c r="E32" s="169" t="s">
        <v>102</v>
      </c>
    </row>
    <row r="33" s="68" customFormat="1" ht="14.25">
      <c r="E33" s="169" t="s">
        <v>103</v>
      </c>
    </row>
    <row r="34" ht="14.25">
      <c r="E34" s="169" t="s">
        <v>104</v>
      </c>
    </row>
  </sheetData>
  <sheetProtection/>
  <mergeCells count="2">
    <mergeCell ref="D5:F6"/>
    <mergeCell ref="C2:G3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view="pageBreakPreview" zoomScaleSheetLayoutView="100" zoomScalePageLayoutView="0" workbookViewId="0" topLeftCell="A1">
      <selection activeCell="K35" sqref="K35"/>
    </sheetView>
  </sheetViews>
  <sheetFormatPr defaultColWidth="9.00390625" defaultRowHeight="13.5"/>
  <sheetData>
    <row r="2" spans="3:7" ht="12.75" customHeight="1">
      <c r="C2" s="196" t="s">
        <v>265</v>
      </c>
      <c r="D2" s="196"/>
      <c r="E2" s="196"/>
      <c r="F2" s="196"/>
      <c r="G2" s="196"/>
    </row>
    <row r="3" spans="3:7" ht="12.75" customHeight="1">
      <c r="C3" s="196"/>
      <c r="D3" s="196"/>
      <c r="E3" s="196"/>
      <c r="F3" s="196"/>
      <c r="G3" s="196"/>
    </row>
    <row r="5" spans="4:7" ht="12.75" customHeight="1">
      <c r="D5" s="195" t="s">
        <v>97</v>
      </c>
      <c r="E5" s="195"/>
      <c r="F5" s="195"/>
      <c r="G5" s="70"/>
    </row>
    <row r="6" spans="4:7" ht="12.75" customHeight="1">
      <c r="D6" s="195"/>
      <c r="E6" s="195"/>
      <c r="F6" s="195"/>
      <c r="G6" s="70"/>
    </row>
    <row r="7" s="68" customFormat="1" ht="14.25"/>
    <row r="8" s="68" customFormat="1" ht="14.25"/>
    <row r="9" s="68" customFormat="1" ht="14.25"/>
    <row r="10" s="68" customFormat="1" ht="14.25">
      <c r="I10" s="69" t="s">
        <v>240</v>
      </c>
    </row>
    <row r="11" s="68" customFormat="1" ht="14.25"/>
    <row r="12" s="68" customFormat="1" ht="14.25">
      <c r="A12" s="68" t="s">
        <v>59</v>
      </c>
    </row>
    <row r="13" s="68" customFormat="1" ht="14.25"/>
    <row r="14" s="68" customFormat="1" ht="14.25">
      <c r="G14" s="169" t="s">
        <v>98</v>
      </c>
    </row>
    <row r="15" s="68" customFormat="1" ht="14.25">
      <c r="G15" s="169" t="s">
        <v>60</v>
      </c>
    </row>
    <row r="16" s="68" customFormat="1" ht="14.25"/>
    <row r="17" s="68" customFormat="1" ht="14.25"/>
    <row r="18" spans="1:5" s="68" customFormat="1" ht="14.25">
      <c r="A18" s="68" t="s">
        <v>11</v>
      </c>
      <c r="B18" s="68" t="s">
        <v>61</v>
      </c>
      <c r="E18" s="169" t="s">
        <v>62</v>
      </c>
    </row>
    <row r="19" s="68" customFormat="1" ht="14.25"/>
    <row r="20" spans="2:5" s="68" customFormat="1" ht="14.25">
      <c r="B20" s="68" t="s">
        <v>63</v>
      </c>
      <c r="E20" s="68" t="s">
        <v>64</v>
      </c>
    </row>
    <row r="21" s="68" customFormat="1" ht="14.25"/>
    <row r="22" spans="2:5" s="68" customFormat="1" ht="14.25">
      <c r="B22" s="68" t="s">
        <v>65</v>
      </c>
      <c r="E22" s="68" t="s">
        <v>241</v>
      </c>
    </row>
    <row r="23" s="68" customFormat="1" ht="14.25"/>
    <row r="24" spans="2:6" s="68" customFormat="1" ht="14.25">
      <c r="B24" s="68" t="s">
        <v>66</v>
      </c>
      <c r="E24" s="170">
        <v>3700</v>
      </c>
      <c r="F24" s="68" t="s">
        <v>37</v>
      </c>
    </row>
    <row r="25" s="68" customFormat="1" ht="14.25">
      <c r="E25" s="169"/>
    </row>
    <row r="26" spans="2:9" s="68" customFormat="1" ht="14.25">
      <c r="B26" s="68" t="s">
        <v>67</v>
      </c>
      <c r="E26" s="170">
        <v>3000</v>
      </c>
      <c r="F26" s="68" t="s">
        <v>37</v>
      </c>
      <c r="G26" s="169"/>
      <c r="H26" s="171" t="s">
        <v>58</v>
      </c>
      <c r="I26" s="68" t="s">
        <v>68</v>
      </c>
    </row>
    <row r="27" s="68" customFormat="1" ht="14.25">
      <c r="G27" s="68" t="s">
        <v>242</v>
      </c>
    </row>
    <row r="28" s="68" customFormat="1" ht="14.25"/>
    <row r="29" spans="2:5" s="68" customFormat="1" ht="14.25">
      <c r="B29" s="68" t="s">
        <v>243</v>
      </c>
      <c r="E29" s="172" t="s">
        <v>99</v>
      </c>
    </row>
    <row r="30" s="68" customFormat="1" ht="14.25"/>
    <row r="31" spans="2:5" s="68" customFormat="1" ht="14.25">
      <c r="B31" s="68" t="s">
        <v>100</v>
      </c>
      <c r="E31" s="169" t="s">
        <v>101</v>
      </c>
    </row>
    <row r="32" s="68" customFormat="1" ht="14.25">
      <c r="E32" s="169" t="s">
        <v>102</v>
      </c>
    </row>
    <row r="33" s="68" customFormat="1" ht="14.25">
      <c r="E33" s="169" t="s">
        <v>103</v>
      </c>
    </row>
    <row r="34" ht="14.25">
      <c r="E34" s="169" t="s">
        <v>104</v>
      </c>
    </row>
  </sheetData>
  <sheetProtection/>
  <mergeCells count="2">
    <mergeCell ref="D5:F6"/>
    <mergeCell ref="C2:G3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77"/>
  <sheetViews>
    <sheetView view="pageBreakPreview" zoomScale="75" zoomScaleNormal="85" zoomScaleSheetLayoutView="75" zoomScalePageLayoutView="0" workbookViewId="0" topLeftCell="A1">
      <pane xSplit="5" ySplit="5" topLeftCell="F6" activePane="bottomRight" state="frozen"/>
      <selection pane="topLeft" activeCell="L37" sqref="L37"/>
      <selection pane="topRight" activeCell="L37" sqref="L37"/>
      <selection pane="bottomLeft" activeCell="L37" sqref="L37"/>
      <selection pane="bottomRight" activeCell="K24" sqref="K24"/>
    </sheetView>
  </sheetViews>
  <sheetFormatPr defaultColWidth="9.00390625" defaultRowHeight="13.5"/>
  <cols>
    <col min="1" max="1" width="16.50390625" style="1" customWidth="1"/>
    <col min="2" max="2" width="18.75390625" style="1" customWidth="1"/>
    <col min="3" max="3" width="30.50390625" style="1" customWidth="1"/>
    <col min="4" max="4" width="17.875" style="1" customWidth="1"/>
    <col min="5" max="5" width="6.00390625" style="1" bestFit="1" customWidth="1"/>
    <col min="6" max="6" width="10.875" style="3" customWidth="1"/>
    <col min="7" max="7" width="13.25390625" style="4" customWidth="1"/>
    <col min="8" max="8" width="17.50390625" style="4" customWidth="1"/>
    <col min="9" max="9" width="25.625" style="2" customWidth="1"/>
    <col min="10" max="16384" width="9.00390625" style="5" customWidth="1"/>
  </cols>
  <sheetData>
    <row r="1" spans="1:9" ht="21">
      <c r="A1" s="197" t="s">
        <v>244</v>
      </c>
      <c r="B1" s="197"/>
      <c r="C1" s="197"/>
      <c r="D1" s="197"/>
      <c r="E1" s="197"/>
      <c r="F1" s="197"/>
      <c r="G1" s="197"/>
      <c r="H1" s="197"/>
      <c r="I1" s="197"/>
    </row>
    <row r="2" spans="8:9" ht="14.25">
      <c r="H2" s="64"/>
      <c r="I2" s="65"/>
    </row>
    <row r="3" spans="1:8" ht="14.25">
      <c r="A3" s="42"/>
      <c r="H3" s="44"/>
    </row>
    <row r="4" spans="1:10" ht="14.25" customHeight="1">
      <c r="A4" s="6"/>
      <c r="B4" s="6"/>
      <c r="C4" s="6"/>
      <c r="D4" s="6"/>
      <c r="E4" s="7"/>
      <c r="F4" s="8"/>
      <c r="G4" s="9"/>
      <c r="H4" s="24"/>
      <c r="I4" s="10"/>
      <c r="J4" s="67"/>
    </row>
    <row r="5" spans="1:10" ht="14.25" customHeight="1">
      <c r="A5" s="11" t="s">
        <v>0</v>
      </c>
      <c r="B5" s="11" t="s">
        <v>1</v>
      </c>
      <c r="C5" s="11" t="s">
        <v>2</v>
      </c>
      <c r="D5" s="11" t="s">
        <v>3</v>
      </c>
      <c r="E5" s="11" t="s">
        <v>10</v>
      </c>
      <c r="F5" s="12" t="s">
        <v>4</v>
      </c>
      <c r="G5" s="13" t="s">
        <v>5</v>
      </c>
      <c r="H5" s="13" t="s">
        <v>9</v>
      </c>
      <c r="I5" s="11" t="s">
        <v>8</v>
      </c>
      <c r="J5" s="67"/>
    </row>
    <row r="6" spans="1:9" ht="18" customHeight="1">
      <c r="A6" s="21"/>
      <c r="B6" s="6"/>
      <c r="C6" s="6"/>
      <c r="D6" s="6"/>
      <c r="E6" s="6"/>
      <c r="F6" s="38"/>
      <c r="G6" s="39"/>
      <c r="H6" s="39"/>
      <c r="I6" s="10"/>
    </row>
    <row r="7" spans="1:10" ht="18" customHeight="1">
      <c r="A7" s="47" t="s">
        <v>84</v>
      </c>
      <c r="B7" s="48"/>
      <c r="C7" s="48"/>
      <c r="D7" s="48"/>
      <c r="E7" s="48" t="s">
        <v>6</v>
      </c>
      <c r="F7" s="49">
        <v>1</v>
      </c>
      <c r="G7" s="50"/>
      <c r="H7" s="148">
        <f>SUM(H9)</f>
        <v>0</v>
      </c>
      <c r="I7" s="17"/>
      <c r="J7" s="62"/>
    </row>
    <row r="8" spans="1:9" ht="18" customHeight="1">
      <c r="A8" s="21"/>
      <c r="B8" s="141"/>
      <c r="C8" s="141"/>
      <c r="D8" s="141"/>
      <c r="E8" s="141"/>
      <c r="F8" s="38"/>
      <c r="G8" s="39"/>
      <c r="H8" s="39"/>
      <c r="I8" s="10"/>
    </row>
    <row r="9" spans="1:9" ht="18" customHeight="1">
      <c r="A9" s="37" t="s">
        <v>12</v>
      </c>
      <c r="B9" s="149" t="s">
        <v>32</v>
      </c>
      <c r="C9" s="142" t="s">
        <v>13</v>
      </c>
      <c r="D9" s="146" t="s">
        <v>221</v>
      </c>
      <c r="E9" s="142" t="s">
        <v>15</v>
      </c>
      <c r="F9" s="143"/>
      <c r="G9" s="144"/>
      <c r="H9" s="144"/>
      <c r="I9" s="17" t="s">
        <v>16</v>
      </c>
    </row>
    <row r="10" spans="1:9" ht="18" customHeight="1">
      <c r="A10" s="21"/>
      <c r="B10" s="51"/>
      <c r="C10" s="145"/>
      <c r="D10" s="145" t="s">
        <v>18</v>
      </c>
      <c r="E10" s="157"/>
      <c r="F10" s="52"/>
      <c r="G10" s="53"/>
      <c r="H10" s="53"/>
      <c r="I10" s="10"/>
    </row>
    <row r="11" spans="1:10" ht="18" customHeight="1">
      <c r="A11" s="47" t="s">
        <v>85</v>
      </c>
      <c r="B11" s="48"/>
      <c r="C11" s="146" t="s">
        <v>17</v>
      </c>
      <c r="D11" s="146" t="s">
        <v>19</v>
      </c>
      <c r="E11" s="158" t="s">
        <v>6</v>
      </c>
      <c r="F11" s="159">
        <v>1</v>
      </c>
      <c r="G11" s="147"/>
      <c r="H11" s="148"/>
      <c r="I11" s="17" t="s">
        <v>205</v>
      </c>
      <c r="J11" s="62"/>
    </row>
    <row r="12" spans="1:9" ht="18" customHeight="1">
      <c r="A12" s="21"/>
      <c r="B12" s="6"/>
      <c r="C12" s="6"/>
      <c r="D12" s="6"/>
      <c r="E12" s="6"/>
      <c r="F12" s="38"/>
      <c r="G12" s="39"/>
      <c r="H12" s="39"/>
      <c r="I12" s="10" t="s">
        <v>30</v>
      </c>
    </row>
    <row r="13" spans="1:10" ht="18" customHeight="1">
      <c r="A13" s="47" t="s">
        <v>147</v>
      </c>
      <c r="B13" s="48"/>
      <c r="C13" s="48"/>
      <c r="D13" s="48"/>
      <c r="E13" s="48" t="s">
        <v>6</v>
      </c>
      <c r="F13" s="49">
        <v>1</v>
      </c>
      <c r="G13" s="50"/>
      <c r="H13" s="148">
        <f>SUM(H15,H17,H19,H21)</f>
        <v>0</v>
      </c>
      <c r="I13" s="17" t="s">
        <v>16</v>
      </c>
      <c r="J13" s="62"/>
    </row>
    <row r="14" spans="1:9" ht="18" customHeight="1">
      <c r="A14" s="21"/>
      <c r="B14" s="141"/>
      <c r="C14" s="141" t="s">
        <v>227</v>
      </c>
      <c r="D14" s="141"/>
      <c r="E14" s="141"/>
      <c r="F14" s="40"/>
      <c r="G14" s="39"/>
      <c r="H14" s="39"/>
      <c r="I14" s="10"/>
    </row>
    <row r="15" spans="1:9" ht="18" customHeight="1">
      <c r="A15" s="37"/>
      <c r="B15" s="150" t="s">
        <v>33</v>
      </c>
      <c r="C15" s="142" t="s">
        <v>222</v>
      </c>
      <c r="D15" s="142" t="s">
        <v>223</v>
      </c>
      <c r="E15" s="142" t="s">
        <v>6</v>
      </c>
      <c r="F15" s="143"/>
      <c r="G15" s="144"/>
      <c r="H15" s="144"/>
      <c r="I15" s="17" t="s">
        <v>178</v>
      </c>
    </row>
    <row r="16" spans="1:9" ht="18" customHeight="1">
      <c r="A16" s="46"/>
      <c r="B16" s="151"/>
      <c r="C16" s="152"/>
      <c r="D16" s="152"/>
      <c r="E16" s="152" t="s">
        <v>177</v>
      </c>
      <c r="F16" s="40"/>
      <c r="G16" s="39"/>
      <c r="H16" s="39"/>
      <c r="I16" s="45"/>
    </row>
    <row r="17" spans="1:9" ht="18" customHeight="1">
      <c r="A17" s="46"/>
      <c r="B17" s="151" t="s">
        <v>160</v>
      </c>
      <c r="C17" s="152" t="s">
        <v>38</v>
      </c>
      <c r="D17" s="152" t="s">
        <v>39</v>
      </c>
      <c r="E17" s="152" t="s">
        <v>176</v>
      </c>
      <c r="F17" s="156"/>
      <c r="G17" s="144"/>
      <c r="H17" s="144"/>
      <c r="I17" s="17" t="s">
        <v>178</v>
      </c>
    </row>
    <row r="18" spans="1:9" ht="18" customHeight="1">
      <c r="A18" s="21"/>
      <c r="B18" s="154"/>
      <c r="C18" s="139"/>
      <c r="D18" s="139" t="s">
        <v>28</v>
      </c>
      <c r="E18" s="6"/>
      <c r="F18" s="40"/>
      <c r="G18" s="39"/>
      <c r="H18" s="39"/>
      <c r="I18" s="10" t="s">
        <v>181</v>
      </c>
    </row>
    <row r="19" spans="1:9" ht="18" customHeight="1">
      <c r="A19" s="37"/>
      <c r="B19" s="155" t="s">
        <v>34</v>
      </c>
      <c r="C19" s="140" t="s">
        <v>25</v>
      </c>
      <c r="D19" s="140" t="s">
        <v>29</v>
      </c>
      <c r="E19" s="14" t="s">
        <v>26</v>
      </c>
      <c r="F19" s="25">
        <v>0</v>
      </c>
      <c r="G19" s="16"/>
      <c r="H19" s="16"/>
      <c r="I19" s="17" t="s">
        <v>186</v>
      </c>
    </row>
    <row r="20" spans="1:9" ht="18" customHeight="1">
      <c r="A20" s="21"/>
      <c r="B20" s="153"/>
      <c r="C20" s="141"/>
      <c r="D20" s="141" t="s">
        <v>224</v>
      </c>
      <c r="E20" s="141"/>
      <c r="F20" s="40"/>
      <c r="G20" s="39"/>
      <c r="H20" s="39"/>
      <c r="I20" s="10" t="s">
        <v>182</v>
      </c>
    </row>
    <row r="21" spans="1:9" ht="18" customHeight="1">
      <c r="A21" s="37"/>
      <c r="B21" s="150" t="s">
        <v>35</v>
      </c>
      <c r="C21" s="142" t="s">
        <v>207</v>
      </c>
      <c r="D21" s="142" t="s">
        <v>225</v>
      </c>
      <c r="E21" s="142" t="s">
        <v>6</v>
      </c>
      <c r="F21" s="143"/>
      <c r="G21" s="144"/>
      <c r="H21" s="144"/>
      <c r="I21" s="17" t="s">
        <v>178</v>
      </c>
    </row>
    <row r="22" spans="1:9" ht="18" customHeight="1">
      <c r="A22" s="21"/>
      <c r="B22" s="6"/>
      <c r="C22" s="6"/>
      <c r="D22" s="6"/>
      <c r="E22" s="6"/>
      <c r="F22" s="38"/>
      <c r="G22" s="39"/>
      <c r="H22" s="39"/>
      <c r="I22" s="10"/>
    </row>
    <row r="23" spans="1:9" ht="18" customHeight="1">
      <c r="A23" s="58" t="s">
        <v>148</v>
      </c>
      <c r="B23" s="48"/>
      <c r="C23" s="48"/>
      <c r="D23" s="48"/>
      <c r="E23" s="48"/>
      <c r="F23" s="49"/>
      <c r="G23" s="50"/>
      <c r="H23" s="50"/>
      <c r="I23" s="17"/>
    </row>
    <row r="24" spans="1:9" ht="18" customHeight="1">
      <c r="A24" s="6"/>
      <c r="B24" s="10"/>
      <c r="C24" s="6"/>
      <c r="D24" s="6"/>
      <c r="E24" s="6"/>
      <c r="F24" s="38"/>
      <c r="G24" s="39"/>
      <c r="H24" s="39"/>
      <c r="I24" s="10"/>
    </row>
    <row r="25" spans="1:9" ht="18" customHeight="1">
      <c r="A25" s="11"/>
      <c r="B25" s="17" t="s">
        <v>208</v>
      </c>
      <c r="C25" s="14"/>
      <c r="D25" s="14"/>
      <c r="E25" s="14"/>
      <c r="F25" s="15"/>
      <c r="G25" s="16"/>
      <c r="H25" s="144">
        <f>H27+H29+H31+H33+H35+H37+H39+H41+H43+H45+H47+H49+H51+H53</f>
        <v>0</v>
      </c>
      <c r="I25" s="17"/>
    </row>
    <row r="26" spans="1:9" ht="18" customHeight="1">
      <c r="A26" s="7"/>
      <c r="B26" s="153"/>
      <c r="C26" s="141"/>
      <c r="D26" s="141"/>
      <c r="E26" s="141"/>
      <c r="F26" s="40"/>
      <c r="G26" s="40"/>
      <c r="H26" s="39"/>
      <c r="I26" s="153"/>
    </row>
    <row r="27" spans="1:9" ht="18" customHeight="1">
      <c r="A27" s="11"/>
      <c r="B27" s="150" t="s">
        <v>136</v>
      </c>
      <c r="C27" s="142" t="s">
        <v>187</v>
      </c>
      <c r="D27" s="142" t="s">
        <v>226</v>
      </c>
      <c r="E27" s="142" t="s">
        <v>40</v>
      </c>
      <c r="F27" s="156"/>
      <c r="G27" s="144"/>
      <c r="H27" s="144"/>
      <c r="I27" s="150"/>
    </row>
    <row r="28" spans="1:9" ht="18" customHeight="1">
      <c r="A28" s="18"/>
      <c r="B28" s="151"/>
      <c r="C28" s="141"/>
      <c r="D28" s="141"/>
      <c r="E28" s="141"/>
      <c r="F28" s="40"/>
      <c r="G28" s="40"/>
      <c r="H28" s="39"/>
      <c r="I28" s="151"/>
    </row>
    <row r="29" spans="1:9" ht="18" customHeight="1">
      <c r="A29" s="18"/>
      <c r="B29" s="150" t="s">
        <v>41</v>
      </c>
      <c r="C29" s="142" t="s">
        <v>188</v>
      </c>
      <c r="D29" s="142" t="s">
        <v>226</v>
      </c>
      <c r="E29" s="142" t="s">
        <v>40</v>
      </c>
      <c r="F29" s="156"/>
      <c r="G29" s="144"/>
      <c r="H29" s="144"/>
      <c r="I29" s="151"/>
    </row>
    <row r="30" spans="1:9" ht="18" customHeight="1">
      <c r="A30" s="7"/>
      <c r="B30" s="153"/>
      <c r="C30" s="141"/>
      <c r="D30" s="141" t="s">
        <v>228</v>
      </c>
      <c r="E30" s="141"/>
      <c r="F30" s="40"/>
      <c r="G30" s="39"/>
      <c r="H30" s="39"/>
      <c r="I30" s="153"/>
    </row>
    <row r="31" spans="1:9" ht="18" customHeight="1">
      <c r="A31" s="11"/>
      <c r="B31" s="150" t="s">
        <v>41</v>
      </c>
      <c r="C31" s="142" t="s">
        <v>210</v>
      </c>
      <c r="D31" s="142" t="s">
        <v>209</v>
      </c>
      <c r="E31" s="142" t="s">
        <v>70</v>
      </c>
      <c r="F31" s="143"/>
      <c r="G31" s="144"/>
      <c r="H31" s="144"/>
      <c r="I31" s="150"/>
    </row>
    <row r="32" spans="1:9" ht="18" customHeight="1">
      <c r="A32" s="18"/>
      <c r="B32" s="151"/>
      <c r="C32" s="152"/>
      <c r="D32" s="152"/>
      <c r="E32" s="152"/>
      <c r="F32" s="40"/>
      <c r="G32" s="39"/>
      <c r="H32" s="39"/>
      <c r="I32" s="151"/>
    </row>
    <row r="33" spans="1:9" ht="18" customHeight="1">
      <c r="A33" s="18"/>
      <c r="B33" s="150" t="s">
        <v>41</v>
      </c>
      <c r="C33" s="142" t="s">
        <v>192</v>
      </c>
      <c r="D33" s="142" t="s">
        <v>229</v>
      </c>
      <c r="E33" s="142" t="s">
        <v>37</v>
      </c>
      <c r="F33" s="143"/>
      <c r="G33" s="160"/>
      <c r="H33" s="144"/>
      <c r="I33" s="151" t="s">
        <v>211</v>
      </c>
    </row>
    <row r="34" spans="1:9" ht="18" customHeight="1">
      <c r="A34" s="7"/>
      <c r="B34" s="153"/>
      <c r="C34" s="141"/>
      <c r="D34" s="141"/>
      <c r="E34" s="141"/>
      <c r="F34" s="40"/>
      <c r="G34" s="39"/>
      <c r="H34" s="39"/>
      <c r="I34" s="153"/>
    </row>
    <row r="35" spans="1:9" ht="18" customHeight="1">
      <c r="A35" s="11"/>
      <c r="B35" s="150" t="s">
        <v>41</v>
      </c>
      <c r="C35" s="142" t="s">
        <v>36</v>
      </c>
      <c r="D35" s="142"/>
      <c r="E35" s="142" t="s">
        <v>15</v>
      </c>
      <c r="F35" s="143"/>
      <c r="G35" s="160"/>
      <c r="H35" s="144"/>
      <c r="I35" s="150"/>
    </row>
    <row r="36" spans="1:9" ht="18" customHeight="1">
      <c r="A36" s="18"/>
      <c r="B36" s="151"/>
      <c r="C36" s="152"/>
      <c r="D36" s="152"/>
      <c r="E36" s="152"/>
      <c r="F36" s="40"/>
      <c r="G36" s="39"/>
      <c r="H36" s="39"/>
      <c r="I36" s="151"/>
    </row>
    <row r="37" spans="1:9" ht="18" customHeight="1">
      <c r="A37" s="11"/>
      <c r="B37" s="150" t="s">
        <v>41</v>
      </c>
      <c r="C37" s="142" t="s">
        <v>78</v>
      </c>
      <c r="D37" s="142" t="s">
        <v>232</v>
      </c>
      <c r="E37" s="142" t="s">
        <v>37</v>
      </c>
      <c r="F37" s="143"/>
      <c r="G37" s="144"/>
      <c r="H37" s="144"/>
      <c r="I37" s="150" t="s">
        <v>214</v>
      </c>
    </row>
    <row r="38" spans="1:9" ht="18" customHeight="1">
      <c r="A38" s="18"/>
      <c r="B38" s="151"/>
      <c r="C38" s="152"/>
      <c r="D38" s="152"/>
      <c r="E38" s="152"/>
      <c r="F38" s="40"/>
      <c r="G38" s="39"/>
      <c r="H38" s="39"/>
      <c r="I38" s="151" t="s">
        <v>231</v>
      </c>
    </row>
    <row r="39" spans="1:9" ht="18" customHeight="1">
      <c r="A39" s="18"/>
      <c r="B39" s="150" t="s">
        <v>41</v>
      </c>
      <c r="C39" s="142" t="s">
        <v>192</v>
      </c>
      <c r="D39" s="142" t="s">
        <v>226</v>
      </c>
      <c r="E39" s="142" t="s">
        <v>37</v>
      </c>
      <c r="F39" s="143"/>
      <c r="G39" s="160"/>
      <c r="H39" s="144"/>
      <c r="I39" s="151" t="s">
        <v>212</v>
      </c>
    </row>
    <row r="40" spans="1:9" ht="18" customHeight="1">
      <c r="A40" s="7"/>
      <c r="B40" s="153"/>
      <c r="C40" s="141"/>
      <c r="D40" s="141" t="s">
        <v>224</v>
      </c>
      <c r="E40" s="141"/>
      <c r="F40" s="40"/>
      <c r="G40" s="39"/>
      <c r="H40" s="39"/>
      <c r="I40" s="153"/>
    </row>
    <row r="41" spans="1:9" ht="18" customHeight="1">
      <c r="A41" s="11"/>
      <c r="B41" s="150" t="s">
        <v>52</v>
      </c>
      <c r="C41" s="142" t="s">
        <v>42</v>
      </c>
      <c r="D41" s="142" t="s">
        <v>236</v>
      </c>
      <c r="E41" s="142" t="s">
        <v>15</v>
      </c>
      <c r="F41" s="143"/>
      <c r="G41" s="144"/>
      <c r="H41" s="144"/>
      <c r="I41" s="150"/>
    </row>
    <row r="42" spans="1:9" ht="18" customHeight="1">
      <c r="A42" s="7"/>
      <c r="B42" s="153"/>
      <c r="C42" s="141"/>
      <c r="D42" s="141" t="s">
        <v>224</v>
      </c>
      <c r="E42" s="141"/>
      <c r="F42" s="40"/>
      <c r="G42" s="39"/>
      <c r="H42" s="39"/>
      <c r="I42" s="164" t="s">
        <v>230</v>
      </c>
    </row>
    <row r="43" spans="1:9" ht="18" customHeight="1">
      <c r="A43" s="11"/>
      <c r="B43" s="150" t="s">
        <v>41</v>
      </c>
      <c r="C43" s="142" t="s">
        <v>74</v>
      </c>
      <c r="D43" s="142" t="s">
        <v>225</v>
      </c>
      <c r="E43" s="142" t="s">
        <v>15</v>
      </c>
      <c r="F43" s="143"/>
      <c r="G43" s="144"/>
      <c r="H43" s="144"/>
      <c r="I43" s="165" t="s">
        <v>233</v>
      </c>
    </row>
    <row r="44" spans="1:9" ht="18" customHeight="1">
      <c r="A44" s="7"/>
      <c r="B44" s="153"/>
      <c r="C44" s="141"/>
      <c r="D44" s="141"/>
      <c r="E44" s="141"/>
      <c r="F44" s="40"/>
      <c r="G44" s="39"/>
      <c r="H44" s="39"/>
      <c r="I44" s="164" t="s">
        <v>230</v>
      </c>
    </row>
    <row r="45" spans="1:9" ht="18" customHeight="1">
      <c r="A45" s="11"/>
      <c r="B45" s="150" t="s">
        <v>41</v>
      </c>
      <c r="C45" s="142" t="s">
        <v>193</v>
      </c>
      <c r="D45" s="142" t="s">
        <v>234</v>
      </c>
      <c r="E45" s="142" t="s">
        <v>194</v>
      </c>
      <c r="F45" s="143"/>
      <c r="G45" s="144"/>
      <c r="H45" s="144"/>
      <c r="I45" s="150"/>
    </row>
    <row r="46" spans="1:9" ht="18" customHeight="1">
      <c r="A46" s="18"/>
      <c r="B46" s="153"/>
      <c r="C46" s="141"/>
      <c r="D46" s="141" t="s">
        <v>49</v>
      </c>
      <c r="E46" s="141"/>
      <c r="F46" s="40"/>
      <c r="G46" s="39"/>
      <c r="H46" s="39"/>
      <c r="I46" s="151"/>
    </row>
    <row r="47" spans="1:9" ht="18" customHeight="1">
      <c r="A47" s="18"/>
      <c r="B47" s="150" t="s">
        <v>87</v>
      </c>
      <c r="C47" s="142" t="s">
        <v>134</v>
      </c>
      <c r="D47" s="142" t="s">
        <v>213</v>
      </c>
      <c r="E47" s="142" t="s">
        <v>50</v>
      </c>
      <c r="F47" s="143"/>
      <c r="G47" s="144"/>
      <c r="H47" s="144"/>
      <c r="I47" s="150" t="s">
        <v>215</v>
      </c>
    </row>
    <row r="48" spans="1:9" ht="18" customHeight="1">
      <c r="A48" s="7"/>
      <c r="B48" s="153"/>
      <c r="C48" s="141"/>
      <c r="D48" s="141" t="s">
        <v>49</v>
      </c>
      <c r="E48" s="141"/>
      <c r="F48" s="40"/>
      <c r="G48" s="39"/>
      <c r="H48" s="39"/>
      <c r="I48" s="151"/>
    </row>
    <row r="49" spans="1:9" ht="18" customHeight="1">
      <c r="A49" s="11"/>
      <c r="B49" s="150" t="s">
        <v>41</v>
      </c>
      <c r="C49" s="142" t="s">
        <v>134</v>
      </c>
      <c r="D49" s="142" t="s">
        <v>196</v>
      </c>
      <c r="E49" s="142" t="s">
        <v>50</v>
      </c>
      <c r="F49" s="143"/>
      <c r="G49" s="144"/>
      <c r="H49" s="144"/>
      <c r="I49" s="151" t="s">
        <v>216</v>
      </c>
    </row>
    <row r="50" spans="1:9" ht="18" customHeight="1">
      <c r="A50" s="7"/>
      <c r="B50" s="153"/>
      <c r="C50" s="141"/>
      <c r="D50" s="141" t="s">
        <v>235</v>
      </c>
      <c r="E50" s="141"/>
      <c r="F50" s="40"/>
      <c r="G50" s="39"/>
      <c r="H50" s="39"/>
      <c r="I50" s="164"/>
    </row>
    <row r="51" spans="1:9" ht="18" customHeight="1">
      <c r="A51" s="11"/>
      <c r="B51" s="150" t="s">
        <v>51</v>
      </c>
      <c r="C51" s="142" t="s">
        <v>46</v>
      </c>
      <c r="D51" s="142" t="s">
        <v>48</v>
      </c>
      <c r="E51" s="142" t="s">
        <v>15</v>
      </c>
      <c r="F51" s="143"/>
      <c r="G51" s="147"/>
      <c r="H51" s="144"/>
      <c r="I51" s="150" t="s">
        <v>238</v>
      </c>
    </row>
    <row r="52" spans="1:9" ht="18" customHeight="1">
      <c r="A52" s="18"/>
      <c r="B52" s="153"/>
      <c r="C52" s="141"/>
      <c r="D52" s="141" t="s">
        <v>217</v>
      </c>
      <c r="E52" s="141"/>
      <c r="F52" s="40"/>
      <c r="G52" s="39"/>
      <c r="H52" s="39"/>
      <c r="I52" s="151"/>
    </row>
    <row r="53" spans="1:9" ht="18" customHeight="1">
      <c r="A53" s="18"/>
      <c r="B53" s="151" t="s">
        <v>203</v>
      </c>
      <c r="C53" s="142" t="s">
        <v>218</v>
      </c>
      <c r="D53" s="142" t="s">
        <v>237</v>
      </c>
      <c r="E53" s="142" t="s">
        <v>54</v>
      </c>
      <c r="F53" s="143"/>
      <c r="G53" s="167"/>
      <c r="H53" s="144"/>
      <c r="I53" s="151" t="s">
        <v>238</v>
      </c>
    </row>
    <row r="54" spans="1:9" ht="18" customHeight="1">
      <c r="A54" s="6"/>
      <c r="B54" s="10"/>
      <c r="C54" s="6"/>
      <c r="D54" s="6"/>
      <c r="E54" s="6"/>
      <c r="F54" s="40"/>
      <c r="G54" s="39"/>
      <c r="H54" s="39"/>
      <c r="I54" s="161"/>
    </row>
    <row r="55" spans="1:9" ht="18" customHeight="1">
      <c r="A55" s="11"/>
      <c r="B55" s="17" t="s">
        <v>55</v>
      </c>
      <c r="C55" s="14"/>
      <c r="D55" s="14"/>
      <c r="E55" s="14" t="s">
        <v>6</v>
      </c>
      <c r="F55" s="25">
        <v>1</v>
      </c>
      <c r="G55" s="144"/>
      <c r="H55" s="144"/>
      <c r="I55" s="166" t="s">
        <v>220</v>
      </c>
    </row>
    <row r="56" spans="1:9" ht="18" customHeight="1">
      <c r="A56" s="18"/>
      <c r="B56" s="19"/>
      <c r="C56" s="20"/>
      <c r="D56" s="19" t="s">
        <v>232</v>
      </c>
      <c r="E56" s="19"/>
      <c r="F56" s="40"/>
      <c r="G56" s="39"/>
      <c r="H56" s="39"/>
      <c r="I56" s="161"/>
    </row>
    <row r="57" spans="1:9" ht="18" customHeight="1">
      <c r="A57" s="11"/>
      <c r="B57" s="17" t="s">
        <v>197</v>
      </c>
      <c r="C57" s="14" t="s">
        <v>198</v>
      </c>
      <c r="D57" s="55" t="s">
        <v>239</v>
      </c>
      <c r="E57" s="14" t="s">
        <v>6</v>
      </c>
      <c r="F57" s="25">
        <v>1</v>
      </c>
      <c r="G57" s="167"/>
      <c r="H57" s="167"/>
      <c r="I57" s="163"/>
    </row>
    <row r="58" spans="1:9" ht="18" customHeight="1">
      <c r="A58" s="18"/>
      <c r="B58" s="19"/>
      <c r="C58" s="20"/>
      <c r="D58" s="19"/>
      <c r="E58" s="19"/>
      <c r="F58" s="40"/>
      <c r="G58" s="39"/>
      <c r="H58" s="39"/>
      <c r="I58" s="161"/>
    </row>
    <row r="59" spans="1:9" ht="18" customHeight="1">
      <c r="A59" s="18"/>
      <c r="B59" s="45"/>
      <c r="C59" s="14"/>
      <c r="D59" s="14"/>
      <c r="E59" s="14"/>
      <c r="F59" s="25"/>
      <c r="G59" s="23"/>
      <c r="H59" s="23"/>
      <c r="I59" s="163"/>
    </row>
    <row r="60" spans="1:9" ht="18" customHeight="1">
      <c r="A60" s="7"/>
      <c r="B60" s="6"/>
      <c r="C60" s="6"/>
      <c r="D60" s="19"/>
      <c r="E60" s="19"/>
      <c r="F60" s="40"/>
      <c r="G60" s="39"/>
      <c r="H60" s="39"/>
      <c r="I60" s="161"/>
    </row>
    <row r="61" spans="1:9" ht="18" customHeight="1">
      <c r="A61" s="11"/>
      <c r="B61" s="17" t="s">
        <v>88</v>
      </c>
      <c r="C61" s="14"/>
      <c r="D61" s="14"/>
      <c r="E61" s="14" t="s">
        <v>6</v>
      </c>
      <c r="F61" s="25">
        <v>1</v>
      </c>
      <c r="G61" s="23"/>
      <c r="H61" s="167">
        <f>SUM(H25,H55,H57,H59)</f>
        <v>0</v>
      </c>
      <c r="I61" s="163"/>
    </row>
    <row r="62" spans="1:9" ht="18" customHeight="1">
      <c r="A62" s="7"/>
      <c r="B62" s="6"/>
      <c r="C62" s="6"/>
      <c r="D62" s="19"/>
      <c r="E62" s="19"/>
      <c r="F62" s="40"/>
      <c r="G62" s="39"/>
      <c r="H62" s="39"/>
      <c r="I62" s="161"/>
    </row>
    <row r="63" spans="1:9" ht="18" customHeight="1">
      <c r="A63" s="11"/>
      <c r="B63" s="17" t="s">
        <v>57</v>
      </c>
      <c r="C63" s="14"/>
      <c r="D63" s="14"/>
      <c r="E63" s="14" t="s">
        <v>6</v>
      </c>
      <c r="F63" s="25">
        <v>1</v>
      </c>
      <c r="G63" s="168"/>
      <c r="H63" s="167"/>
      <c r="I63" s="166" t="s">
        <v>220</v>
      </c>
    </row>
    <row r="64" spans="1:10" ht="18" customHeight="1">
      <c r="A64" s="6"/>
      <c r="B64" s="10"/>
      <c r="C64" s="6"/>
      <c r="D64" s="6"/>
      <c r="E64" s="6"/>
      <c r="F64" s="40"/>
      <c r="G64" s="39"/>
      <c r="H64" s="39"/>
      <c r="I64" s="161"/>
      <c r="J64" s="22"/>
    </row>
    <row r="65" spans="1:9" ht="18" customHeight="1">
      <c r="A65" s="11"/>
      <c r="B65" s="17" t="s">
        <v>89</v>
      </c>
      <c r="C65" s="14"/>
      <c r="D65" s="14"/>
      <c r="E65" s="14" t="s">
        <v>6</v>
      </c>
      <c r="F65" s="25">
        <v>1</v>
      </c>
      <c r="G65" s="16"/>
      <c r="H65" s="144">
        <f>SUM(H55,H57,H59,H63)</f>
        <v>0</v>
      </c>
      <c r="I65" s="162"/>
    </row>
    <row r="66" spans="1:9" ht="18" customHeight="1">
      <c r="A66" s="18"/>
      <c r="B66" s="45"/>
      <c r="C66" s="19"/>
      <c r="D66" s="19"/>
      <c r="E66" s="19"/>
      <c r="F66" s="40"/>
      <c r="G66" s="39"/>
      <c r="H66" s="39"/>
      <c r="I66" s="163"/>
    </row>
    <row r="67" spans="1:9" ht="18" customHeight="1">
      <c r="A67" s="18"/>
      <c r="B67" s="45" t="s">
        <v>90</v>
      </c>
      <c r="C67" s="19"/>
      <c r="D67" s="19"/>
      <c r="E67" s="19" t="s">
        <v>6</v>
      </c>
      <c r="F67" s="25">
        <v>1</v>
      </c>
      <c r="G67" s="16"/>
      <c r="H67" s="144">
        <f>+ROUNDDOWN(H61+H63,0)</f>
        <v>0</v>
      </c>
      <c r="I67" s="163"/>
    </row>
    <row r="68" spans="1:10" ht="18" customHeight="1">
      <c r="A68" s="6"/>
      <c r="B68" s="6"/>
      <c r="C68" s="6"/>
      <c r="D68" s="6"/>
      <c r="E68" s="6"/>
      <c r="F68" s="40"/>
      <c r="G68" s="39"/>
      <c r="H68" s="39"/>
      <c r="I68" s="161"/>
      <c r="J68" s="22"/>
    </row>
    <row r="69" spans="1:17" ht="18" customHeight="1">
      <c r="A69" s="11"/>
      <c r="B69" s="17" t="s">
        <v>93</v>
      </c>
      <c r="C69" s="36"/>
      <c r="D69" s="14"/>
      <c r="E69" s="14" t="s">
        <v>6</v>
      </c>
      <c r="F69" s="25">
        <v>1</v>
      </c>
      <c r="G69" s="144"/>
      <c r="H69" s="167"/>
      <c r="I69" s="166" t="s">
        <v>220</v>
      </c>
      <c r="K69" s="41"/>
      <c r="N69" s="22"/>
      <c r="Q69" s="41"/>
    </row>
    <row r="70" spans="1:17" ht="18" customHeight="1">
      <c r="A70" s="6"/>
      <c r="B70" s="6"/>
      <c r="C70" s="6"/>
      <c r="D70" s="6"/>
      <c r="E70" s="6"/>
      <c r="F70" s="40"/>
      <c r="G70" s="39"/>
      <c r="H70" s="39"/>
      <c r="I70" s="10"/>
      <c r="K70" s="41"/>
      <c r="N70" s="22"/>
      <c r="Q70" s="41"/>
    </row>
    <row r="71" spans="1:11" s="59" customFormat="1" ht="18" customHeight="1">
      <c r="A71" s="61" t="s">
        <v>86</v>
      </c>
      <c r="C71" s="48"/>
      <c r="D71" s="48"/>
      <c r="E71" s="60" t="s">
        <v>6</v>
      </c>
      <c r="F71" s="49">
        <v>1</v>
      </c>
      <c r="G71" s="50"/>
      <c r="H71" s="148">
        <f>+ROUNDDOWN(H67+H69,-3)</f>
        <v>0</v>
      </c>
      <c r="I71" s="50"/>
      <c r="J71" s="62"/>
      <c r="K71" s="62"/>
    </row>
    <row r="72" spans="1:18" ht="18" customHeight="1">
      <c r="A72" s="6"/>
      <c r="B72" s="6"/>
      <c r="C72" s="6"/>
      <c r="D72" s="6"/>
      <c r="E72" s="6"/>
      <c r="F72" s="40"/>
      <c r="G72" s="39"/>
      <c r="H72" s="39"/>
      <c r="I72" s="10"/>
      <c r="R72" s="41"/>
    </row>
    <row r="73" spans="1:18" ht="18" customHeight="1">
      <c r="A73" s="11"/>
      <c r="B73" s="36"/>
      <c r="C73" s="14"/>
      <c r="D73" s="14"/>
      <c r="E73" s="14"/>
      <c r="F73" s="25"/>
      <c r="G73" s="16"/>
      <c r="H73" s="16"/>
      <c r="I73" s="17"/>
      <c r="R73" s="41"/>
    </row>
    <row r="74" spans="1:12" ht="18" customHeight="1">
      <c r="A74" s="6"/>
      <c r="B74" s="6"/>
      <c r="C74" s="6"/>
      <c r="D74" s="6"/>
      <c r="E74" s="6"/>
      <c r="F74" s="40"/>
      <c r="G74" s="39"/>
      <c r="H74" s="39"/>
      <c r="I74" s="10"/>
      <c r="L74" s="41"/>
    </row>
    <row r="75" spans="1:12" s="59" customFormat="1" ht="18" customHeight="1">
      <c r="A75" s="66" t="s">
        <v>149</v>
      </c>
      <c r="B75" s="63"/>
      <c r="C75" s="48"/>
      <c r="D75" s="48"/>
      <c r="E75" s="48"/>
      <c r="F75" s="49"/>
      <c r="G75" s="50"/>
      <c r="H75" s="148">
        <f>SUM(H7,H11,H13,H71)</f>
        <v>0</v>
      </c>
      <c r="I75" s="61"/>
      <c r="J75" s="62"/>
      <c r="K75" s="62"/>
      <c r="L75" s="62"/>
    </row>
    <row r="76" spans="1:9" ht="18" customHeight="1">
      <c r="A76" s="26"/>
      <c r="B76" s="26"/>
      <c r="C76" s="26"/>
      <c r="D76" s="26"/>
      <c r="E76" s="26"/>
      <c r="F76" s="27"/>
      <c r="G76" s="28"/>
      <c r="H76" s="28"/>
      <c r="I76" s="29"/>
    </row>
    <row r="77" spans="1:9" ht="18" customHeight="1">
      <c r="A77" s="30"/>
      <c r="B77" s="31"/>
      <c r="C77" s="31"/>
      <c r="D77" s="31"/>
      <c r="E77" s="31"/>
      <c r="F77" s="32"/>
      <c r="G77" s="33"/>
      <c r="H77" s="33"/>
      <c r="I77" s="34"/>
    </row>
    <row r="78" ht="18" customHeight="1"/>
    <row r="79" ht="18" customHeight="1"/>
    <row r="80" ht="18" customHeight="1"/>
    <row r="81" ht="18" customHeight="1"/>
  </sheetData>
  <sheetProtection/>
  <mergeCells count="1">
    <mergeCell ref="A1:I1"/>
  </mergeCells>
  <printOptions horizontalCentered="1" verticalCentered="1"/>
  <pageMargins left="0.4724409448818898" right="0.3937007874015748" top="0.31496062992125984" bottom="0.2362204724409449" header="0.1968503937007874" footer="0.1968503937007874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77"/>
  <sheetViews>
    <sheetView view="pageBreakPreview" zoomScaleNormal="85" zoomScaleSheetLayoutView="100" zoomScalePageLayoutView="0" workbookViewId="0" topLeftCell="A1">
      <pane xSplit="5" ySplit="5" topLeftCell="F69" activePane="bottomRight" state="frozen"/>
      <selection pane="topLeft" activeCell="L37" sqref="L37"/>
      <selection pane="topRight" activeCell="L37" sqref="L37"/>
      <selection pane="bottomLeft" activeCell="L37" sqref="L37"/>
      <selection pane="bottomRight" activeCell="A9" sqref="A9:IV9"/>
    </sheetView>
  </sheetViews>
  <sheetFormatPr defaultColWidth="9.00390625" defaultRowHeight="13.5"/>
  <cols>
    <col min="1" max="1" width="16.50390625" style="1" customWidth="1"/>
    <col min="2" max="2" width="18.75390625" style="1" customWidth="1"/>
    <col min="3" max="3" width="29.75390625" style="1" customWidth="1"/>
    <col min="4" max="4" width="18.50390625" style="1" customWidth="1"/>
    <col min="5" max="5" width="6.00390625" style="1" bestFit="1" customWidth="1"/>
    <col min="6" max="6" width="10.875" style="3" customWidth="1"/>
    <col min="7" max="7" width="13.25390625" style="4" customWidth="1"/>
    <col min="8" max="8" width="17.50390625" style="4" customWidth="1"/>
    <col min="9" max="9" width="25.75390625" style="2" customWidth="1"/>
    <col min="10" max="16384" width="9.00390625" style="5" customWidth="1"/>
  </cols>
  <sheetData>
    <row r="1" spans="1:9" ht="21">
      <c r="A1" s="197" t="s">
        <v>245</v>
      </c>
      <c r="B1" s="197"/>
      <c r="C1" s="197"/>
      <c r="D1" s="197"/>
      <c r="E1" s="197"/>
      <c r="F1" s="197"/>
      <c r="G1" s="197"/>
      <c r="H1" s="197"/>
      <c r="I1" s="197"/>
    </row>
    <row r="2" spans="8:9" ht="14.25">
      <c r="H2" s="64"/>
      <c r="I2" s="65"/>
    </row>
    <row r="3" spans="1:8" ht="14.25">
      <c r="A3" s="42"/>
      <c r="H3" s="44"/>
    </row>
    <row r="4" spans="1:10" ht="14.25" customHeight="1">
      <c r="A4" s="6"/>
      <c r="B4" s="6"/>
      <c r="C4" s="6"/>
      <c r="D4" s="6"/>
      <c r="E4" s="7"/>
      <c r="F4" s="8"/>
      <c r="G4" s="9"/>
      <c r="H4" s="24"/>
      <c r="I4" s="10"/>
      <c r="J4" s="67" t="s">
        <v>95</v>
      </c>
    </row>
    <row r="5" spans="1:10" ht="14.25" customHeight="1">
      <c r="A5" s="11" t="s">
        <v>0</v>
      </c>
      <c r="B5" s="11" t="s">
        <v>1</v>
      </c>
      <c r="C5" s="11" t="s">
        <v>2</v>
      </c>
      <c r="D5" s="11" t="s">
        <v>3</v>
      </c>
      <c r="E5" s="11" t="s">
        <v>10</v>
      </c>
      <c r="F5" s="12" t="s">
        <v>4</v>
      </c>
      <c r="G5" s="13" t="s">
        <v>5</v>
      </c>
      <c r="H5" s="13" t="s">
        <v>9</v>
      </c>
      <c r="I5" s="11" t="s">
        <v>8</v>
      </c>
      <c r="J5" s="67" t="s">
        <v>96</v>
      </c>
    </row>
    <row r="6" spans="1:9" ht="18" customHeight="1">
      <c r="A6" s="21"/>
      <c r="B6" s="6"/>
      <c r="C6" s="6"/>
      <c r="D6" s="6"/>
      <c r="E6" s="6"/>
      <c r="F6" s="38"/>
      <c r="G6" s="39"/>
      <c r="H6" s="39"/>
      <c r="I6" s="10"/>
    </row>
    <row r="7" spans="1:10" ht="18" customHeight="1">
      <c r="A7" s="47" t="s">
        <v>84</v>
      </c>
      <c r="B7" s="48"/>
      <c r="C7" s="48"/>
      <c r="D7" s="48"/>
      <c r="E7" s="48" t="s">
        <v>6</v>
      </c>
      <c r="F7" s="49">
        <v>1</v>
      </c>
      <c r="G7" s="50"/>
      <c r="H7" s="50">
        <f>SUM(H9)</f>
        <v>300000</v>
      </c>
      <c r="I7" s="17"/>
      <c r="J7" s="62">
        <f>+INT(H7/F33)</f>
        <v>81</v>
      </c>
    </row>
    <row r="8" spans="1:9" ht="18" customHeight="1">
      <c r="A8" s="21"/>
      <c r="B8" s="6"/>
      <c r="C8" s="6"/>
      <c r="D8" s="6"/>
      <c r="E8" s="6"/>
      <c r="F8" s="38"/>
      <c r="G8" s="39"/>
      <c r="H8" s="39"/>
      <c r="I8" s="10" t="s">
        <v>172</v>
      </c>
    </row>
    <row r="9" spans="1:9" ht="18" customHeight="1">
      <c r="A9" s="37" t="s">
        <v>12</v>
      </c>
      <c r="B9" s="56" t="s">
        <v>32</v>
      </c>
      <c r="C9" s="14" t="s">
        <v>13</v>
      </c>
      <c r="D9" s="14" t="s">
        <v>14</v>
      </c>
      <c r="E9" s="14" t="s">
        <v>15</v>
      </c>
      <c r="F9" s="25">
        <v>2500</v>
      </c>
      <c r="G9" s="16">
        <v>120</v>
      </c>
      <c r="H9" s="16">
        <f>+F9*G9</f>
        <v>300000</v>
      </c>
      <c r="I9" s="17" t="s">
        <v>16</v>
      </c>
    </row>
    <row r="10" spans="1:9" ht="18" customHeight="1">
      <c r="A10" s="21"/>
      <c r="B10" s="51"/>
      <c r="C10" s="54"/>
      <c r="D10" s="54" t="s">
        <v>18</v>
      </c>
      <c r="E10" s="51"/>
      <c r="F10" s="52"/>
      <c r="G10" s="53"/>
      <c r="H10" s="53"/>
      <c r="I10" s="10" t="s">
        <v>173</v>
      </c>
    </row>
    <row r="11" spans="1:10" ht="18" customHeight="1">
      <c r="A11" s="47" t="s">
        <v>85</v>
      </c>
      <c r="B11" s="48"/>
      <c r="C11" s="55" t="s">
        <v>17</v>
      </c>
      <c r="D11" s="55" t="s">
        <v>19</v>
      </c>
      <c r="E11" s="48" t="s">
        <v>6</v>
      </c>
      <c r="F11" s="49">
        <v>1</v>
      </c>
      <c r="G11" s="126">
        <v>145000</v>
      </c>
      <c r="H11" s="50">
        <f>+F11*G11</f>
        <v>145000</v>
      </c>
      <c r="I11" s="17" t="s">
        <v>200</v>
      </c>
      <c r="J11" s="62">
        <f>+INT(H11/F33)</f>
        <v>39</v>
      </c>
    </row>
    <row r="12" spans="1:9" ht="18" customHeight="1">
      <c r="A12" s="21"/>
      <c r="B12" s="6"/>
      <c r="C12" s="6"/>
      <c r="D12" s="6"/>
      <c r="E12" s="6"/>
      <c r="F12" s="38"/>
      <c r="G12" s="39"/>
      <c r="H12" s="39"/>
      <c r="I12" s="10" t="s">
        <v>30</v>
      </c>
    </row>
    <row r="13" spans="1:10" ht="18" customHeight="1">
      <c r="A13" s="47" t="s">
        <v>147</v>
      </c>
      <c r="B13" s="48"/>
      <c r="C13" s="48"/>
      <c r="D13" s="48"/>
      <c r="E13" s="48" t="s">
        <v>6</v>
      </c>
      <c r="F13" s="49">
        <v>1</v>
      </c>
      <c r="G13" s="50"/>
      <c r="H13" s="50">
        <f>SUM(H15,H17,H19,H21)</f>
        <v>2683000</v>
      </c>
      <c r="I13" s="17" t="s">
        <v>16</v>
      </c>
      <c r="J13" s="62">
        <f>+INT(H13/F33)</f>
        <v>725</v>
      </c>
    </row>
    <row r="14" spans="1:9" ht="18" customHeight="1">
      <c r="A14" s="21"/>
      <c r="B14" s="6"/>
      <c r="C14" s="6" t="s">
        <v>174</v>
      </c>
      <c r="D14" s="6" t="s">
        <v>24</v>
      </c>
      <c r="E14" s="6"/>
      <c r="F14" s="40"/>
      <c r="G14" s="39"/>
      <c r="H14" s="39"/>
      <c r="I14" s="10" t="s">
        <v>179</v>
      </c>
    </row>
    <row r="15" spans="1:9" ht="18" customHeight="1">
      <c r="A15" s="37"/>
      <c r="B15" s="17" t="s">
        <v>33</v>
      </c>
      <c r="C15" s="14" t="s">
        <v>175</v>
      </c>
      <c r="D15" s="14" t="s">
        <v>23</v>
      </c>
      <c r="E15" s="14" t="s">
        <v>6</v>
      </c>
      <c r="F15" s="25">
        <v>1</v>
      </c>
      <c r="G15" s="16">
        <v>1773000</v>
      </c>
      <c r="H15" s="16">
        <f>+F15*G15</f>
        <v>1773000</v>
      </c>
      <c r="I15" s="17" t="s">
        <v>178</v>
      </c>
    </row>
    <row r="16" spans="1:9" ht="18" customHeight="1">
      <c r="A16" s="46"/>
      <c r="B16" s="45"/>
      <c r="C16" s="19"/>
      <c r="D16" s="19"/>
      <c r="E16" s="19" t="s">
        <v>177</v>
      </c>
      <c r="F16" s="40"/>
      <c r="G16" s="39"/>
      <c r="H16" s="39"/>
      <c r="I16" s="45" t="s">
        <v>180</v>
      </c>
    </row>
    <row r="17" spans="1:9" ht="18" customHeight="1">
      <c r="A17" s="46"/>
      <c r="B17" s="45" t="s">
        <v>160</v>
      </c>
      <c r="C17" s="19" t="s">
        <v>38</v>
      </c>
      <c r="D17" s="19" t="s">
        <v>39</v>
      </c>
      <c r="E17" s="19" t="s">
        <v>176</v>
      </c>
      <c r="F17" s="57">
        <v>0.25</v>
      </c>
      <c r="G17" s="16">
        <v>632000</v>
      </c>
      <c r="H17" s="16">
        <f>+F17*G17</f>
        <v>158000</v>
      </c>
      <c r="I17" s="17" t="s">
        <v>178</v>
      </c>
    </row>
    <row r="18" spans="1:9" ht="18" customHeight="1">
      <c r="A18" s="21"/>
      <c r="B18" s="10"/>
      <c r="C18" s="6"/>
      <c r="D18" s="6" t="s">
        <v>28</v>
      </c>
      <c r="E18" s="6"/>
      <c r="F18" s="40"/>
      <c r="G18" s="39"/>
      <c r="H18" s="39"/>
      <c r="I18" s="10" t="s">
        <v>181</v>
      </c>
    </row>
    <row r="19" spans="1:9" ht="18" customHeight="1">
      <c r="A19" s="37"/>
      <c r="B19" s="17" t="s">
        <v>34</v>
      </c>
      <c r="C19" s="14" t="s">
        <v>25</v>
      </c>
      <c r="D19" s="14" t="s">
        <v>29</v>
      </c>
      <c r="E19" s="14" t="s">
        <v>26</v>
      </c>
      <c r="F19" s="25">
        <v>0</v>
      </c>
      <c r="G19" s="16">
        <v>17700</v>
      </c>
      <c r="H19" s="16">
        <f>+F19*G19</f>
        <v>0</v>
      </c>
      <c r="I19" s="17" t="s">
        <v>186</v>
      </c>
    </row>
    <row r="20" spans="1:9" ht="18" customHeight="1">
      <c r="A20" s="21"/>
      <c r="B20" s="10"/>
      <c r="C20" s="6" t="s">
        <v>184</v>
      </c>
      <c r="D20" s="6"/>
      <c r="E20" s="6"/>
      <c r="F20" s="40"/>
      <c r="G20" s="39"/>
      <c r="H20" s="39"/>
      <c r="I20" s="10" t="s">
        <v>182</v>
      </c>
    </row>
    <row r="21" spans="1:9" ht="18" customHeight="1">
      <c r="A21" s="37"/>
      <c r="B21" s="17" t="s">
        <v>35</v>
      </c>
      <c r="C21" s="14" t="s">
        <v>185</v>
      </c>
      <c r="D21" s="14" t="s">
        <v>183</v>
      </c>
      <c r="E21" s="14" t="s">
        <v>6</v>
      </c>
      <c r="F21" s="25">
        <v>1</v>
      </c>
      <c r="G21" s="16">
        <v>752000</v>
      </c>
      <c r="H21" s="16">
        <f>+F21*G21</f>
        <v>752000</v>
      </c>
      <c r="I21" s="17" t="s">
        <v>178</v>
      </c>
    </row>
    <row r="22" spans="1:9" ht="18" customHeight="1">
      <c r="A22" s="21"/>
      <c r="B22" s="6"/>
      <c r="C22" s="6"/>
      <c r="D22" s="6"/>
      <c r="E22" s="6"/>
      <c r="F22" s="38"/>
      <c r="G22" s="39"/>
      <c r="H22" s="39"/>
      <c r="I22" s="10"/>
    </row>
    <row r="23" spans="1:9" ht="18" customHeight="1">
      <c r="A23" s="58" t="s">
        <v>148</v>
      </c>
      <c r="B23" s="48"/>
      <c r="C23" s="48"/>
      <c r="D23" s="48"/>
      <c r="E23" s="48"/>
      <c r="F23" s="49"/>
      <c r="G23" s="50"/>
      <c r="H23" s="50"/>
      <c r="I23" s="17"/>
    </row>
    <row r="24" spans="1:9" ht="18" customHeight="1">
      <c r="A24" s="6"/>
      <c r="B24" s="10"/>
      <c r="C24" s="6"/>
      <c r="D24" s="6"/>
      <c r="E24" s="6"/>
      <c r="F24" s="38"/>
      <c r="G24" s="39"/>
      <c r="H24" s="39"/>
      <c r="I24" s="10"/>
    </row>
    <row r="25" spans="1:9" ht="18" customHeight="1">
      <c r="A25" s="11"/>
      <c r="B25" s="17" t="s">
        <v>31</v>
      </c>
      <c r="C25" s="14"/>
      <c r="D25" s="14"/>
      <c r="E25" s="14"/>
      <c r="F25" s="15"/>
      <c r="G25" s="16"/>
      <c r="H25" s="16">
        <f>H27+H29+H31+H33+H35+H37+H39+H41+H43+H45+H47+H49+H51+H53</f>
        <v>2991280</v>
      </c>
      <c r="I25" s="17"/>
    </row>
    <row r="26" spans="1:9" ht="18" customHeight="1">
      <c r="A26" s="7"/>
      <c r="B26" s="10"/>
      <c r="C26" s="6"/>
      <c r="D26" s="6" t="s">
        <v>189</v>
      </c>
      <c r="E26" s="6"/>
      <c r="F26" s="40"/>
      <c r="G26" s="40"/>
      <c r="H26" s="39"/>
      <c r="I26" s="161"/>
    </row>
    <row r="27" spans="1:9" ht="18" customHeight="1">
      <c r="A27" s="11"/>
      <c r="B27" s="17" t="s">
        <v>136</v>
      </c>
      <c r="C27" s="14" t="s">
        <v>187</v>
      </c>
      <c r="D27" s="14" t="s">
        <v>72</v>
      </c>
      <c r="E27" s="14" t="s">
        <v>40</v>
      </c>
      <c r="F27" s="57">
        <v>0.25</v>
      </c>
      <c r="G27" s="16">
        <v>580900</v>
      </c>
      <c r="H27" s="16">
        <f>F27*G27</f>
        <v>145225</v>
      </c>
      <c r="I27" s="162"/>
    </row>
    <row r="28" spans="1:9" ht="18" customHeight="1">
      <c r="A28" s="18"/>
      <c r="B28" s="45"/>
      <c r="C28" s="6"/>
      <c r="D28" s="6" t="s">
        <v>189</v>
      </c>
      <c r="E28" s="6"/>
      <c r="F28" s="40"/>
      <c r="G28" s="40"/>
      <c r="H28" s="39"/>
      <c r="I28" s="163"/>
    </row>
    <row r="29" spans="1:9" ht="18" customHeight="1">
      <c r="A29" s="18"/>
      <c r="B29" s="17" t="s">
        <v>41</v>
      </c>
      <c r="C29" s="14" t="s">
        <v>188</v>
      </c>
      <c r="D29" s="14" t="s">
        <v>72</v>
      </c>
      <c r="E29" s="14" t="s">
        <v>40</v>
      </c>
      <c r="F29" s="57">
        <v>0.25</v>
      </c>
      <c r="G29" s="16">
        <v>284300</v>
      </c>
      <c r="H29" s="16">
        <f>F29*G29</f>
        <v>71075</v>
      </c>
      <c r="I29" s="163"/>
    </row>
    <row r="30" spans="1:9" ht="18" customHeight="1">
      <c r="A30" s="7"/>
      <c r="B30" s="10"/>
      <c r="C30" s="6"/>
      <c r="D30" s="6" t="s">
        <v>190</v>
      </c>
      <c r="E30" s="6"/>
      <c r="F30" s="40"/>
      <c r="G30" s="39"/>
      <c r="H30" s="39"/>
      <c r="I30" s="161"/>
    </row>
    <row r="31" spans="1:9" ht="18" customHeight="1">
      <c r="A31" s="11"/>
      <c r="B31" s="17" t="s">
        <v>41</v>
      </c>
      <c r="C31" s="14" t="s">
        <v>69</v>
      </c>
      <c r="D31" s="14" t="s">
        <v>71</v>
      </c>
      <c r="E31" s="14" t="s">
        <v>70</v>
      </c>
      <c r="F31" s="25">
        <v>250</v>
      </c>
      <c r="G31" s="16">
        <f>72+269+680+448+177</f>
        <v>1646</v>
      </c>
      <c r="H31" s="16">
        <f>F31*G31</f>
        <v>411500</v>
      </c>
      <c r="I31" s="162" t="s">
        <v>80</v>
      </c>
    </row>
    <row r="32" spans="1:9" ht="18" customHeight="1">
      <c r="A32" s="18"/>
      <c r="B32" s="45"/>
      <c r="C32" s="19" t="s">
        <v>192</v>
      </c>
      <c r="D32" s="19"/>
      <c r="E32" s="19"/>
      <c r="F32" s="40"/>
      <c r="G32" s="39"/>
      <c r="H32" s="39"/>
      <c r="I32" s="163"/>
    </row>
    <row r="33" spans="1:9" ht="18" customHeight="1">
      <c r="A33" s="18"/>
      <c r="B33" s="17" t="s">
        <v>41</v>
      </c>
      <c r="C33" s="14" t="s">
        <v>191</v>
      </c>
      <c r="D33" s="14" t="s">
        <v>73</v>
      </c>
      <c r="E33" s="14" t="s">
        <v>37</v>
      </c>
      <c r="F33" s="25">
        <v>3700</v>
      </c>
      <c r="G33" s="15">
        <v>115.1</v>
      </c>
      <c r="H33" s="16">
        <f>F33*G33</f>
        <v>425870</v>
      </c>
      <c r="I33" s="163"/>
    </row>
    <row r="34" spans="1:9" ht="18" customHeight="1">
      <c r="A34" s="7"/>
      <c r="B34" s="10"/>
      <c r="C34" s="6"/>
      <c r="D34" s="6"/>
      <c r="E34" s="6"/>
      <c r="F34" s="40"/>
      <c r="G34" s="39"/>
      <c r="H34" s="39"/>
      <c r="I34" s="161"/>
    </row>
    <row r="35" spans="1:9" ht="18" customHeight="1">
      <c r="A35" s="11"/>
      <c r="B35" s="17" t="s">
        <v>41</v>
      </c>
      <c r="C35" s="14" t="s">
        <v>36</v>
      </c>
      <c r="D35" s="14" t="s">
        <v>79</v>
      </c>
      <c r="E35" s="14" t="s">
        <v>15</v>
      </c>
      <c r="F35" s="25">
        <v>500</v>
      </c>
      <c r="G35" s="15">
        <v>362.2</v>
      </c>
      <c r="H35" s="16">
        <f>F35*G35</f>
        <v>181100</v>
      </c>
      <c r="I35" s="162"/>
    </row>
    <row r="36" spans="1:9" ht="18" customHeight="1">
      <c r="A36" s="18"/>
      <c r="B36" s="45"/>
      <c r="C36" s="19"/>
      <c r="D36" s="19"/>
      <c r="E36" s="19"/>
      <c r="F36" s="40"/>
      <c r="G36" s="39"/>
      <c r="H36" s="39"/>
      <c r="I36" s="163"/>
    </row>
    <row r="37" spans="1:9" ht="18" customHeight="1">
      <c r="A37" s="11"/>
      <c r="B37" s="17" t="s">
        <v>41</v>
      </c>
      <c r="C37" s="14" t="s">
        <v>78</v>
      </c>
      <c r="D37" s="14" t="s">
        <v>76</v>
      </c>
      <c r="E37" s="14" t="s">
        <v>37</v>
      </c>
      <c r="F37" s="25">
        <v>350</v>
      </c>
      <c r="G37" s="16">
        <f>215.3+1609</f>
        <v>1824.3</v>
      </c>
      <c r="H37" s="16">
        <f>F37*G37</f>
        <v>638505</v>
      </c>
      <c r="I37" s="162"/>
    </row>
    <row r="38" spans="1:9" ht="18" customHeight="1">
      <c r="A38" s="18"/>
      <c r="B38" s="45"/>
      <c r="C38" s="19" t="s">
        <v>192</v>
      </c>
      <c r="D38" s="19" t="s">
        <v>77</v>
      </c>
      <c r="E38" s="19"/>
      <c r="F38" s="40"/>
      <c r="G38" s="39"/>
      <c r="H38" s="39"/>
      <c r="I38" s="163"/>
    </row>
    <row r="39" spans="1:9" ht="18" customHeight="1">
      <c r="A39" s="18"/>
      <c r="B39" s="17" t="s">
        <v>41</v>
      </c>
      <c r="C39" s="14" t="s">
        <v>191</v>
      </c>
      <c r="D39" s="14" t="s">
        <v>72</v>
      </c>
      <c r="E39" s="14" t="s">
        <v>37</v>
      </c>
      <c r="F39" s="25">
        <v>350</v>
      </c>
      <c r="G39" s="15">
        <v>115.1</v>
      </c>
      <c r="H39" s="16">
        <f>F39*G39</f>
        <v>40285</v>
      </c>
      <c r="I39" s="163"/>
    </row>
    <row r="40" spans="1:9" ht="18" customHeight="1">
      <c r="A40" s="7"/>
      <c r="B40" s="10"/>
      <c r="C40" s="6"/>
      <c r="D40" s="6" t="s">
        <v>43</v>
      </c>
      <c r="E40" s="6"/>
      <c r="F40" s="40"/>
      <c r="G40" s="39"/>
      <c r="H40" s="39"/>
      <c r="I40" s="161"/>
    </row>
    <row r="41" spans="1:9" ht="18" customHeight="1">
      <c r="A41" s="11"/>
      <c r="B41" s="17" t="s">
        <v>52</v>
      </c>
      <c r="C41" s="14" t="s">
        <v>42</v>
      </c>
      <c r="D41" s="14" t="s">
        <v>44</v>
      </c>
      <c r="E41" s="14" t="s">
        <v>15</v>
      </c>
      <c r="F41" s="25">
        <v>210</v>
      </c>
      <c r="G41" s="16">
        <v>836</v>
      </c>
      <c r="H41" s="16">
        <f>F41*G41</f>
        <v>175560</v>
      </c>
      <c r="I41" s="162"/>
    </row>
    <row r="42" spans="1:9" ht="18" customHeight="1">
      <c r="A42" s="7"/>
      <c r="B42" s="10"/>
      <c r="C42" s="6"/>
      <c r="D42" s="6" t="s">
        <v>45</v>
      </c>
      <c r="E42" s="6"/>
      <c r="F42" s="40"/>
      <c r="G42" s="39"/>
      <c r="H42" s="39"/>
      <c r="I42" s="161" t="s">
        <v>230</v>
      </c>
    </row>
    <row r="43" spans="1:9" ht="18" customHeight="1">
      <c r="A43" s="11"/>
      <c r="B43" s="17" t="s">
        <v>41</v>
      </c>
      <c r="C43" s="14" t="s">
        <v>74</v>
      </c>
      <c r="D43" s="14" t="s">
        <v>161</v>
      </c>
      <c r="E43" s="14" t="s">
        <v>15</v>
      </c>
      <c r="F43" s="25">
        <v>150</v>
      </c>
      <c r="G43" s="16">
        <f>(172+162)*3</f>
        <v>1002</v>
      </c>
      <c r="H43" s="16">
        <f>F43*G43</f>
        <v>150300</v>
      </c>
      <c r="I43" s="162" t="s">
        <v>75</v>
      </c>
    </row>
    <row r="44" spans="1:9" ht="18" customHeight="1">
      <c r="A44" s="7"/>
      <c r="B44" s="10"/>
      <c r="C44" s="6"/>
      <c r="D44" s="6"/>
      <c r="E44" s="6"/>
      <c r="F44" s="40"/>
      <c r="G44" s="39"/>
      <c r="H44" s="39"/>
      <c r="I44" s="161" t="s">
        <v>230</v>
      </c>
    </row>
    <row r="45" spans="1:9" ht="18" customHeight="1">
      <c r="A45" s="11"/>
      <c r="B45" s="17" t="s">
        <v>41</v>
      </c>
      <c r="C45" s="14" t="s">
        <v>193</v>
      </c>
      <c r="D45" s="14" t="s">
        <v>202</v>
      </c>
      <c r="E45" s="14" t="s">
        <v>194</v>
      </c>
      <c r="F45" s="25">
        <v>34</v>
      </c>
      <c r="G45" s="16">
        <f>(172+162)*3</f>
        <v>1002</v>
      </c>
      <c r="H45" s="16">
        <f>F45*G45</f>
        <v>34068</v>
      </c>
      <c r="I45" s="162"/>
    </row>
    <row r="46" spans="1:9" ht="18" customHeight="1">
      <c r="A46" s="18"/>
      <c r="B46" s="10"/>
      <c r="C46" s="6"/>
      <c r="D46" s="6" t="s">
        <v>49</v>
      </c>
      <c r="E46" s="6"/>
      <c r="F46" s="40"/>
      <c r="G46" s="39"/>
      <c r="H46" s="39"/>
      <c r="I46" s="163"/>
    </row>
    <row r="47" spans="1:9" ht="18" customHeight="1">
      <c r="A47" s="18"/>
      <c r="B47" s="17" t="s">
        <v>87</v>
      </c>
      <c r="C47" s="14" t="s">
        <v>134</v>
      </c>
      <c r="D47" s="14" t="s">
        <v>195</v>
      </c>
      <c r="E47" s="14" t="s">
        <v>50</v>
      </c>
      <c r="F47" s="25">
        <v>12</v>
      </c>
      <c r="G47" s="16">
        <v>4155</v>
      </c>
      <c r="H47" s="16">
        <f>F47*G47</f>
        <v>49860</v>
      </c>
      <c r="I47" s="162"/>
    </row>
    <row r="48" spans="1:9" ht="18" customHeight="1">
      <c r="A48" s="7"/>
      <c r="B48" s="10"/>
      <c r="C48" s="6"/>
      <c r="D48" s="6" t="s">
        <v>49</v>
      </c>
      <c r="E48" s="6"/>
      <c r="F48" s="40"/>
      <c r="G48" s="39"/>
      <c r="H48" s="39"/>
      <c r="I48" s="163"/>
    </row>
    <row r="49" spans="1:9" ht="18" customHeight="1">
      <c r="A49" s="11"/>
      <c r="B49" s="17" t="s">
        <v>41</v>
      </c>
      <c r="C49" s="14" t="s">
        <v>134</v>
      </c>
      <c r="D49" s="14" t="s">
        <v>196</v>
      </c>
      <c r="E49" s="14" t="s">
        <v>50</v>
      </c>
      <c r="F49" s="25">
        <v>12</v>
      </c>
      <c r="G49" s="16">
        <v>611</v>
      </c>
      <c r="H49" s="16">
        <f>F49*G49</f>
        <v>7332</v>
      </c>
      <c r="I49" s="163"/>
    </row>
    <row r="50" spans="1:9" ht="18" customHeight="1">
      <c r="A50" s="7"/>
      <c r="B50" s="10"/>
      <c r="C50" s="6"/>
      <c r="D50" s="6" t="s">
        <v>47</v>
      </c>
      <c r="E50" s="6"/>
      <c r="F50" s="40"/>
      <c r="G50" s="39"/>
      <c r="H50" s="39"/>
      <c r="I50" s="161"/>
    </row>
    <row r="51" spans="1:9" ht="18" customHeight="1">
      <c r="A51" s="11"/>
      <c r="B51" s="17" t="s">
        <v>51</v>
      </c>
      <c r="C51" s="14" t="s">
        <v>46</v>
      </c>
      <c r="D51" s="14" t="s">
        <v>48</v>
      </c>
      <c r="E51" s="14" t="s">
        <v>15</v>
      </c>
      <c r="F51" s="25">
        <v>200</v>
      </c>
      <c r="G51" s="43">
        <v>1353</v>
      </c>
      <c r="H51" s="16">
        <f>F51*G51</f>
        <v>270600</v>
      </c>
      <c r="I51" s="162" t="s">
        <v>201</v>
      </c>
    </row>
    <row r="52" spans="1:9" ht="18" customHeight="1">
      <c r="A52" s="18"/>
      <c r="B52" s="10"/>
      <c r="C52" s="6"/>
      <c r="D52" s="6"/>
      <c r="E52" s="6"/>
      <c r="F52" s="40"/>
      <c r="G52" s="39"/>
      <c r="H52" s="39"/>
      <c r="I52" s="163"/>
    </row>
    <row r="53" spans="1:9" ht="18" customHeight="1">
      <c r="A53" s="18"/>
      <c r="B53" s="45" t="s">
        <v>203</v>
      </c>
      <c r="C53" s="14" t="s">
        <v>82</v>
      </c>
      <c r="D53" s="14" t="s">
        <v>53</v>
      </c>
      <c r="E53" s="14" t="s">
        <v>54</v>
      </c>
      <c r="F53" s="25">
        <v>30</v>
      </c>
      <c r="G53" s="23">
        <v>13000</v>
      </c>
      <c r="H53" s="16">
        <f>F53*G53</f>
        <v>390000</v>
      </c>
      <c r="I53" s="163" t="s">
        <v>83</v>
      </c>
    </row>
    <row r="54" spans="1:9" ht="18" customHeight="1">
      <c r="A54" s="6"/>
      <c r="B54" s="10"/>
      <c r="C54" s="6"/>
      <c r="D54" s="6"/>
      <c r="E54" s="6"/>
      <c r="F54" s="40"/>
      <c r="G54" s="39"/>
      <c r="H54" s="39"/>
      <c r="I54" s="161"/>
    </row>
    <row r="55" spans="1:9" ht="18" customHeight="1">
      <c r="A55" s="11"/>
      <c r="B55" s="17" t="s">
        <v>55</v>
      </c>
      <c r="C55" s="14" t="s">
        <v>91</v>
      </c>
      <c r="D55" s="14"/>
      <c r="E55" s="14" t="s">
        <v>7</v>
      </c>
      <c r="F55" s="57">
        <f>12.78*1.1</f>
        <v>14.058</v>
      </c>
      <c r="G55" s="16">
        <f>+H25</f>
        <v>2991280</v>
      </c>
      <c r="H55" s="16">
        <f>+INT(H25*F55/100)</f>
        <v>420514</v>
      </c>
      <c r="I55" s="162" t="s">
        <v>204</v>
      </c>
    </row>
    <row r="56" spans="1:9" ht="18" customHeight="1">
      <c r="A56" s="18"/>
      <c r="B56" s="19"/>
      <c r="C56" s="20"/>
      <c r="D56" s="19" t="s">
        <v>76</v>
      </c>
      <c r="E56" s="19"/>
      <c r="F56" s="40"/>
      <c r="G56" s="39"/>
      <c r="H56" s="39"/>
      <c r="I56" s="161"/>
    </row>
    <row r="57" spans="1:9" ht="18" customHeight="1">
      <c r="A57" s="11"/>
      <c r="B57" s="17" t="s">
        <v>197</v>
      </c>
      <c r="C57" s="14" t="s">
        <v>198</v>
      </c>
      <c r="D57" s="14" t="s">
        <v>199</v>
      </c>
      <c r="E57" s="14" t="s">
        <v>6</v>
      </c>
      <c r="F57" s="25">
        <v>1</v>
      </c>
      <c r="G57" s="23">
        <v>267770</v>
      </c>
      <c r="H57" s="23">
        <f>F57*G57</f>
        <v>267770</v>
      </c>
      <c r="I57" s="163"/>
    </row>
    <row r="58" spans="1:9" ht="18" customHeight="1">
      <c r="A58" s="18"/>
      <c r="B58" s="19"/>
      <c r="C58" s="20"/>
      <c r="D58" s="19"/>
      <c r="E58" s="19"/>
      <c r="F58" s="40"/>
      <c r="G58" s="39"/>
      <c r="H58" s="39"/>
      <c r="I58" s="161"/>
    </row>
    <row r="59" spans="1:9" ht="18" customHeight="1">
      <c r="A59" s="18"/>
      <c r="B59" s="45" t="s">
        <v>56</v>
      </c>
      <c r="C59" s="14"/>
      <c r="D59" s="14"/>
      <c r="E59" s="14"/>
      <c r="F59" s="25"/>
      <c r="G59" s="23"/>
      <c r="H59" s="23">
        <f>F59*G59</f>
        <v>0</v>
      </c>
      <c r="I59" s="163"/>
    </row>
    <row r="60" spans="1:9" ht="18" customHeight="1">
      <c r="A60" s="7"/>
      <c r="B60" s="6"/>
      <c r="C60" s="6"/>
      <c r="D60" s="19"/>
      <c r="E60" s="19"/>
      <c r="F60" s="40"/>
      <c r="G60" s="39"/>
      <c r="H60" s="39"/>
      <c r="I60" s="161"/>
    </row>
    <row r="61" spans="1:9" ht="18" customHeight="1">
      <c r="A61" s="11"/>
      <c r="B61" s="17" t="s">
        <v>88</v>
      </c>
      <c r="C61" s="14"/>
      <c r="D61" s="14"/>
      <c r="E61" s="14" t="s">
        <v>6</v>
      </c>
      <c r="F61" s="25">
        <v>1</v>
      </c>
      <c r="G61" s="23"/>
      <c r="H61" s="23">
        <f>SUM(H25,H55,H57,H59)</f>
        <v>3679564</v>
      </c>
      <c r="I61" s="163"/>
    </row>
    <row r="62" spans="1:9" ht="18" customHeight="1">
      <c r="A62" s="7"/>
      <c r="B62" s="6"/>
      <c r="C62" s="6"/>
      <c r="D62" s="19"/>
      <c r="E62" s="19"/>
      <c r="F62" s="40"/>
      <c r="G62" s="39"/>
      <c r="H62" s="39"/>
      <c r="I62" s="161"/>
    </row>
    <row r="63" spans="1:9" ht="18" customHeight="1">
      <c r="A63" s="11"/>
      <c r="B63" s="17" t="s">
        <v>57</v>
      </c>
      <c r="C63" s="14" t="s">
        <v>92</v>
      </c>
      <c r="D63" s="14"/>
      <c r="E63" s="14" t="s">
        <v>7</v>
      </c>
      <c r="F63" s="57">
        <v>33.69</v>
      </c>
      <c r="G63" s="35">
        <f>+H61</f>
        <v>3679564</v>
      </c>
      <c r="H63" s="23">
        <f>INT(F63*G63/100)</f>
        <v>1239645</v>
      </c>
      <c r="I63" s="162"/>
    </row>
    <row r="64" spans="1:10" ht="18" customHeight="1">
      <c r="A64" s="6"/>
      <c r="B64" s="10"/>
      <c r="C64" s="6"/>
      <c r="D64" s="6"/>
      <c r="E64" s="6"/>
      <c r="F64" s="40"/>
      <c r="G64" s="39"/>
      <c r="H64" s="39"/>
      <c r="I64" s="161"/>
      <c r="J64" s="22"/>
    </row>
    <row r="65" spans="1:9" ht="18" customHeight="1">
      <c r="A65" s="11"/>
      <c r="B65" s="17" t="s">
        <v>89</v>
      </c>
      <c r="C65" s="14"/>
      <c r="D65" s="14"/>
      <c r="E65" s="14" t="s">
        <v>6</v>
      </c>
      <c r="F65" s="25">
        <v>1</v>
      </c>
      <c r="G65" s="16"/>
      <c r="H65" s="16">
        <f>SUM(H55,H57,H59,H63)</f>
        <v>1927929</v>
      </c>
      <c r="I65" s="162"/>
    </row>
    <row r="66" spans="1:9" ht="18" customHeight="1">
      <c r="A66" s="18"/>
      <c r="B66" s="45"/>
      <c r="C66" s="19"/>
      <c r="D66" s="19"/>
      <c r="E66" s="19"/>
      <c r="F66" s="40"/>
      <c r="G66" s="39"/>
      <c r="H66" s="39"/>
      <c r="I66" s="163"/>
    </row>
    <row r="67" spans="1:9" ht="18" customHeight="1">
      <c r="A67" s="18"/>
      <c r="B67" s="45" t="s">
        <v>90</v>
      </c>
      <c r="C67" s="19"/>
      <c r="D67" s="19"/>
      <c r="E67" s="19" t="s">
        <v>6</v>
      </c>
      <c r="F67" s="25">
        <v>1</v>
      </c>
      <c r="G67" s="16"/>
      <c r="H67" s="16">
        <f>+ROUNDDOWN(H61+H63,0)</f>
        <v>4919209</v>
      </c>
      <c r="I67" s="163"/>
    </row>
    <row r="68" spans="1:10" ht="18" customHeight="1">
      <c r="A68" s="6"/>
      <c r="B68" s="6"/>
      <c r="C68" s="6"/>
      <c r="D68" s="6"/>
      <c r="E68" s="6"/>
      <c r="F68" s="40"/>
      <c r="G68" s="39"/>
      <c r="H68" s="39"/>
      <c r="I68" s="161"/>
      <c r="J68" s="22"/>
    </row>
    <row r="69" spans="1:17" ht="18" customHeight="1">
      <c r="A69" s="11"/>
      <c r="B69" s="17" t="s">
        <v>93</v>
      </c>
      <c r="C69" s="36" t="s">
        <v>219</v>
      </c>
      <c r="D69" s="14"/>
      <c r="E69" s="14" t="s">
        <v>7</v>
      </c>
      <c r="F69" s="57">
        <v>17.51</v>
      </c>
      <c r="G69" s="16">
        <f>+H67</f>
        <v>4919209</v>
      </c>
      <c r="H69" s="23">
        <f>INT(F69*G69/100)</f>
        <v>861353</v>
      </c>
      <c r="I69" s="162"/>
      <c r="K69" s="41"/>
      <c r="N69" s="22"/>
      <c r="Q69" s="41"/>
    </row>
    <row r="70" spans="1:17" ht="18" customHeight="1">
      <c r="A70" s="6"/>
      <c r="B70" s="6"/>
      <c r="C70" s="6"/>
      <c r="D70" s="6"/>
      <c r="E70" s="6"/>
      <c r="F70" s="40"/>
      <c r="G70" s="39"/>
      <c r="H70" s="39"/>
      <c r="I70" s="161"/>
      <c r="K70" s="41"/>
      <c r="N70" s="22"/>
      <c r="Q70" s="41"/>
    </row>
    <row r="71" spans="1:11" s="59" customFormat="1" ht="18" customHeight="1">
      <c r="A71" s="61" t="s">
        <v>86</v>
      </c>
      <c r="C71" s="48"/>
      <c r="D71" s="48"/>
      <c r="E71" s="60" t="s">
        <v>6</v>
      </c>
      <c r="F71" s="49">
        <v>1</v>
      </c>
      <c r="G71" s="50"/>
      <c r="H71" s="50">
        <f>+ROUNDDOWN(H67+H69,-3)</f>
        <v>5780000</v>
      </c>
      <c r="I71" s="50"/>
      <c r="J71" s="62">
        <f>+INT(H71/F33)</f>
        <v>1562</v>
      </c>
      <c r="K71" s="62"/>
    </row>
    <row r="72" spans="1:18" ht="18" customHeight="1">
      <c r="A72" s="6"/>
      <c r="B72" s="6"/>
      <c r="C72" s="6"/>
      <c r="D72" s="6"/>
      <c r="E72" s="6"/>
      <c r="F72" s="40"/>
      <c r="G72" s="39"/>
      <c r="H72" s="39"/>
      <c r="I72" s="161"/>
      <c r="R72" s="41"/>
    </row>
    <row r="73" spans="1:18" ht="18" customHeight="1">
      <c r="A73" s="11"/>
      <c r="B73" s="36"/>
      <c r="C73" s="14"/>
      <c r="D73" s="14"/>
      <c r="E73" s="14"/>
      <c r="F73" s="25"/>
      <c r="G73" s="16"/>
      <c r="H73" s="16"/>
      <c r="I73" s="162"/>
      <c r="R73" s="41"/>
    </row>
    <row r="74" spans="1:12" ht="18" customHeight="1">
      <c r="A74" s="6"/>
      <c r="B74" s="6"/>
      <c r="C74" s="6"/>
      <c r="D74" s="6"/>
      <c r="E74" s="6"/>
      <c r="F74" s="40"/>
      <c r="G74" s="39"/>
      <c r="H74" s="39"/>
      <c r="I74" s="161"/>
      <c r="L74" s="41"/>
    </row>
    <row r="75" spans="1:12" s="59" customFormat="1" ht="18" customHeight="1">
      <c r="A75" s="66" t="s">
        <v>149</v>
      </c>
      <c r="B75" s="63"/>
      <c r="C75" s="48"/>
      <c r="D75" s="48"/>
      <c r="E75" s="48"/>
      <c r="F75" s="49"/>
      <c r="G75" s="50"/>
      <c r="H75" s="50">
        <f>SUM(H7,H11,H13,H71)</f>
        <v>8908000</v>
      </c>
      <c r="I75" s="61"/>
      <c r="J75" s="62">
        <f>+INT(H75/F33)</f>
        <v>2407</v>
      </c>
      <c r="K75" s="62"/>
      <c r="L75" s="62"/>
    </row>
    <row r="76" spans="1:9" ht="18" customHeight="1">
      <c r="A76" s="198" t="s">
        <v>268</v>
      </c>
      <c r="B76" s="199"/>
      <c r="C76" s="199"/>
      <c r="D76" s="199"/>
      <c r="E76" s="199"/>
      <c r="F76" s="199"/>
      <c r="G76" s="199"/>
      <c r="H76" s="199"/>
      <c r="I76" s="199"/>
    </row>
    <row r="77" spans="1:9" ht="18" customHeight="1">
      <c r="A77" s="200"/>
      <c r="B77" s="200"/>
      <c r="C77" s="200"/>
      <c r="D77" s="200"/>
      <c r="E77" s="200"/>
      <c r="F77" s="200"/>
      <c r="G77" s="200"/>
      <c r="H77" s="200"/>
      <c r="I77" s="200"/>
    </row>
    <row r="78" ht="18" customHeight="1"/>
    <row r="79" ht="18" customHeight="1"/>
    <row r="80" ht="18" customHeight="1"/>
    <row r="81" ht="18" customHeight="1"/>
  </sheetData>
  <sheetProtection/>
  <mergeCells count="2">
    <mergeCell ref="A1:I1"/>
    <mergeCell ref="A76:I77"/>
  </mergeCells>
  <printOptions horizontalCentered="1" verticalCentered="1"/>
  <pageMargins left="0.3937007874015748" right="0.3937007874015748" top="0.2362204724409449" bottom="0.2362204724409449" header="0.1968503937007874" footer="0.1968503937007874"/>
  <pageSetup fitToHeight="0" fitToWidth="1" horizontalDpi="600" verticalDpi="600" orientation="portrait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view="pageBreakPreview" zoomScaleSheetLayoutView="100" zoomScalePageLayoutView="0" workbookViewId="0" topLeftCell="A16">
      <selection activeCell="T25" sqref="T25"/>
    </sheetView>
  </sheetViews>
  <sheetFormatPr defaultColWidth="8.75390625" defaultRowHeight="13.5"/>
  <cols>
    <col min="1" max="1" width="17.625" style="72" customWidth="1"/>
    <col min="2" max="2" width="11.75390625" style="72" customWidth="1"/>
    <col min="3" max="3" width="11.875" style="72" customWidth="1"/>
    <col min="4" max="4" width="7.625" style="72" customWidth="1"/>
    <col min="5" max="5" width="5.75390625" style="72" customWidth="1"/>
    <col min="6" max="7" width="10.625" style="73" customWidth="1"/>
    <col min="8" max="8" width="11.625" style="72" customWidth="1"/>
    <col min="9" max="9" width="8.75390625" style="72" customWidth="1"/>
    <col min="10" max="10" width="17.625" style="72" customWidth="1"/>
    <col min="11" max="11" width="11.75390625" style="72" customWidth="1"/>
    <col min="12" max="12" width="11.875" style="72" customWidth="1"/>
    <col min="13" max="13" width="7.625" style="72" customWidth="1"/>
    <col min="14" max="14" width="5.75390625" style="72" customWidth="1"/>
    <col min="15" max="16" width="10.625" style="73" customWidth="1"/>
    <col min="17" max="17" width="11.625" style="72" customWidth="1"/>
    <col min="18" max="16384" width="8.75390625" style="72" customWidth="1"/>
  </cols>
  <sheetData>
    <row r="1" spans="1:17" ht="24">
      <c r="A1" s="207" t="s">
        <v>266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</row>
    <row r="2" spans="1:11" ht="18.75">
      <c r="A2" s="71" t="s">
        <v>105</v>
      </c>
      <c r="B2" s="101" t="s">
        <v>162</v>
      </c>
      <c r="J2" s="71" t="s">
        <v>105</v>
      </c>
      <c r="K2" s="101" t="s">
        <v>159</v>
      </c>
    </row>
    <row r="3" spans="1:17" s="74" customFormat="1" ht="18.75">
      <c r="A3" s="76" t="s">
        <v>106</v>
      </c>
      <c r="B3" s="76" t="s">
        <v>107</v>
      </c>
      <c r="C3" s="76" t="s">
        <v>108</v>
      </c>
      <c r="D3" s="76" t="s">
        <v>109</v>
      </c>
      <c r="E3" s="76" t="s">
        <v>10</v>
      </c>
      <c r="F3" s="77" t="s">
        <v>94</v>
      </c>
      <c r="G3" s="77" t="s">
        <v>110</v>
      </c>
      <c r="H3" s="76" t="s">
        <v>111</v>
      </c>
      <c r="J3" s="76" t="s">
        <v>106</v>
      </c>
      <c r="K3" s="76" t="s">
        <v>107</v>
      </c>
      <c r="L3" s="76" t="s">
        <v>108</v>
      </c>
      <c r="M3" s="76" t="s">
        <v>109</v>
      </c>
      <c r="N3" s="76" t="s">
        <v>10</v>
      </c>
      <c r="O3" s="77" t="s">
        <v>94</v>
      </c>
      <c r="P3" s="77" t="s">
        <v>110</v>
      </c>
      <c r="Q3" s="76" t="s">
        <v>111</v>
      </c>
    </row>
    <row r="4" spans="1:17" ht="10.5" customHeight="1">
      <c r="A4" s="78"/>
      <c r="B4" s="78"/>
      <c r="C4" s="78"/>
      <c r="D4" s="78"/>
      <c r="E4" s="78"/>
      <c r="F4" s="79"/>
      <c r="G4" s="79"/>
      <c r="H4" s="78"/>
      <c r="J4" s="78"/>
      <c r="K4" s="78"/>
      <c r="L4" s="78"/>
      <c r="M4" s="78"/>
      <c r="N4" s="78"/>
      <c r="O4" s="79"/>
      <c r="P4" s="79"/>
      <c r="Q4" s="78"/>
    </row>
    <row r="5" spans="1:17" s="75" customFormat="1" ht="18">
      <c r="A5" s="80" t="s">
        <v>112</v>
      </c>
      <c r="B5" s="80" t="s">
        <v>115</v>
      </c>
      <c r="C5" s="80" t="s">
        <v>121</v>
      </c>
      <c r="D5" s="81">
        <f>+'見積内訳書（例） (説明入り)'!F9</f>
        <v>2500</v>
      </c>
      <c r="E5" s="82" t="s">
        <v>15</v>
      </c>
      <c r="F5" s="81">
        <f>+'見積内訳書（例） (説明入り)'!G9</f>
        <v>120</v>
      </c>
      <c r="G5" s="81">
        <f>+INT(D5*F5)</f>
        <v>300000</v>
      </c>
      <c r="H5" s="80" t="s">
        <v>122</v>
      </c>
      <c r="J5" s="80" t="s">
        <v>151</v>
      </c>
      <c r="K5" s="80"/>
      <c r="L5" s="80"/>
      <c r="M5" s="81">
        <v>3700</v>
      </c>
      <c r="N5" s="82" t="s">
        <v>15</v>
      </c>
      <c r="O5" s="81">
        <v>1600</v>
      </c>
      <c r="P5" s="81">
        <f>+INT(M5*O5)</f>
        <v>5920000</v>
      </c>
      <c r="Q5" s="80" t="s">
        <v>157</v>
      </c>
    </row>
    <row r="6" spans="1:17" ht="9.75" customHeight="1">
      <c r="A6" s="78"/>
      <c r="B6" s="78"/>
      <c r="C6" s="78"/>
      <c r="D6" s="78"/>
      <c r="E6" s="78"/>
      <c r="F6" s="79"/>
      <c r="G6" s="79"/>
      <c r="H6" s="78"/>
      <c r="J6" s="78"/>
      <c r="K6" s="78"/>
      <c r="L6" s="78"/>
      <c r="M6" s="78"/>
      <c r="N6" s="78"/>
      <c r="O6" s="79"/>
      <c r="P6" s="79"/>
      <c r="Q6" s="78"/>
    </row>
    <row r="7" spans="1:17" s="75" customFormat="1" ht="36" customHeight="1">
      <c r="A7" s="80" t="s">
        <v>114</v>
      </c>
      <c r="B7" s="83" t="s">
        <v>130</v>
      </c>
      <c r="C7" s="83" t="s">
        <v>120</v>
      </c>
      <c r="D7" s="127">
        <f>+'見積内訳書（例） (説明入り)'!F11</f>
        <v>1</v>
      </c>
      <c r="E7" s="82" t="s">
        <v>6</v>
      </c>
      <c r="F7" s="81">
        <f>+'見積内訳書（例） (説明入り)'!G11</f>
        <v>145000</v>
      </c>
      <c r="G7" s="81">
        <f>+INT(D7*F7)</f>
        <v>145000</v>
      </c>
      <c r="H7" s="80" t="s">
        <v>27</v>
      </c>
      <c r="J7" s="201" t="s">
        <v>158</v>
      </c>
      <c r="K7" s="202"/>
      <c r="L7" s="202"/>
      <c r="M7" s="202"/>
      <c r="N7" s="202"/>
      <c r="O7" s="202"/>
      <c r="P7" s="202"/>
      <c r="Q7" s="203"/>
    </row>
    <row r="8" spans="1:17" ht="9" customHeight="1">
      <c r="A8" s="78"/>
      <c r="B8" s="78"/>
      <c r="C8" s="78"/>
      <c r="D8" s="78"/>
      <c r="E8" s="78"/>
      <c r="F8" s="79"/>
      <c r="G8" s="79"/>
      <c r="H8" s="78"/>
      <c r="J8" s="78"/>
      <c r="K8" s="78"/>
      <c r="L8" s="78"/>
      <c r="M8" s="78"/>
      <c r="N8" s="78"/>
      <c r="O8" s="79"/>
      <c r="P8" s="79"/>
      <c r="Q8" s="78"/>
    </row>
    <row r="9" spans="1:17" s="75" customFormat="1" ht="36">
      <c r="A9" s="80" t="s">
        <v>113</v>
      </c>
      <c r="B9" s="83" t="s">
        <v>131</v>
      </c>
      <c r="C9" s="80"/>
      <c r="D9" s="127">
        <f>+'見積内訳書（例） (説明入り)'!F13</f>
        <v>1</v>
      </c>
      <c r="E9" s="82" t="s">
        <v>6</v>
      </c>
      <c r="F9" s="81"/>
      <c r="G9" s="81">
        <f>SUM(G10:G13)</f>
        <v>2683000</v>
      </c>
      <c r="H9" s="80"/>
      <c r="J9" s="80"/>
      <c r="K9" s="83"/>
      <c r="L9" s="80"/>
      <c r="M9" s="80"/>
      <c r="N9" s="82"/>
      <c r="O9" s="81"/>
      <c r="P9" s="81"/>
      <c r="Q9" s="80"/>
    </row>
    <row r="10" spans="1:17" ht="18.75">
      <c r="A10" s="78"/>
      <c r="B10" s="78" t="s">
        <v>20</v>
      </c>
      <c r="C10" s="78" t="s">
        <v>116</v>
      </c>
      <c r="D10" s="87">
        <f>+'見積内訳書（例） (説明入り)'!F15</f>
        <v>1</v>
      </c>
      <c r="E10" s="76" t="s">
        <v>6</v>
      </c>
      <c r="F10" s="79">
        <f>+'見積内訳書（例） (説明入り)'!G15</f>
        <v>1773000</v>
      </c>
      <c r="G10" s="79">
        <f>+INT(D10*F10)</f>
        <v>1773000</v>
      </c>
      <c r="H10" s="78" t="s">
        <v>27</v>
      </c>
      <c r="J10" s="78"/>
      <c r="K10" s="78"/>
      <c r="L10" s="78"/>
      <c r="M10" s="78"/>
      <c r="N10" s="76"/>
      <c r="O10" s="79"/>
      <c r="P10" s="79"/>
      <c r="Q10" s="78"/>
    </row>
    <row r="11" spans="1:17" ht="18.75">
      <c r="A11" s="78"/>
      <c r="B11" s="78" t="s">
        <v>117</v>
      </c>
      <c r="C11" s="78" t="s">
        <v>38</v>
      </c>
      <c r="D11" s="86">
        <f>+'見積内訳書（例） (説明入り)'!F17</f>
        <v>0.25</v>
      </c>
      <c r="E11" s="76" t="s">
        <v>40</v>
      </c>
      <c r="F11" s="79">
        <f>+'見積内訳書（例） (説明入り)'!G17</f>
        <v>632000</v>
      </c>
      <c r="G11" s="79">
        <f>+INT(D11*F11)</f>
        <v>158000</v>
      </c>
      <c r="H11" s="78" t="s">
        <v>27</v>
      </c>
      <c r="J11" s="78"/>
      <c r="K11" s="78"/>
      <c r="L11" s="78"/>
      <c r="M11" s="78"/>
      <c r="N11" s="76"/>
      <c r="O11" s="79"/>
      <c r="P11" s="79"/>
      <c r="Q11" s="78"/>
    </row>
    <row r="12" spans="1:17" ht="32.25" customHeight="1">
      <c r="A12" s="78"/>
      <c r="B12" s="78" t="s">
        <v>21</v>
      </c>
      <c r="C12" s="102" t="s">
        <v>206</v>
      </c>
      <c r="D12" s="87">
        <f>+'見積内訳書（例） (説明入り)'!F19</f>
        <v>0</v>
      </c>
      <c r="E12" s="76" t="s">
        <v>26</v>
      </c>
      <c r="F12" s="79">
        <f>+'見積内訳書（例） (説明入り)'!G19</f>
        <v>17700</v>
      </c>
      <c r="G12" s="79">
        <f>+INT(D12*F12)</f>
        <v>0</v>
      </c>
      <c r="H12" s="78" t="s">
        <v>27</v>
      </c>
      <c r="J12" s="78"/>
      <c r="K12" s="78"/>
      <c r="L12" s="78"/>
      <c r="M12" s="78"/>
      <c r="N12" s="76"/>
      <c r="O12" s="79"/>
      <c r="P12" s="79"/>
      <c r="Q12" s="78"/>
    </row>
    <row r="13" spans="1:17" ht="18.75">
      <c r="A13" s="78"/>
      <c r="B13" s="78" t="s">
        <v>22</v>
      </c>
      <c r="C13" s="78" t="s">
        <v>118</v>
      </c>
      <c r="D13" s="87">
        <f>+'見積内訳書（例） (説明入り)'!F21</f>
        <v>1</v>
      </c>
      <c r="E13" s="76" t="s">
        <v>6</v>
      </c>
      <c r="F13" s="79">
        <f>+'見積内訳書（例） (説明入り)'!G21</f>
        <v>752000</v>
      </c>
      <c r="G13" s="79">
        <f>+INT(D13*F13)</f>
        <v>752000</v>
      </c>
      <c r="H13" s="78" t="s">
        <v>27</v>
      </c>
      <c r="J13" s="78"/>
      <c r="K13" s="78"/>
      <c r="L13" s="78"/>
      <c r="M13" s="78"/>
      <c r="N13" s="76"/>
      <c r="O13" s="79"/>
      <c r="P13" s="79"/>
      <c r="Q13" s="78"/>
    </row>
    <row r="14" spans="1:17" ht="9" customHeight="1">
      <c r="A14" s="78"/>
      <c r="B14" s="78"/>
      <c r="C14" s="78"/>
      <c r="D14" s="78"/>
      <c r="E14" s="78"/>
      <c r="F14" s="79"/>
      <c r="G14" s="79"/>
      <c r="H14" s="78"/>
      <c r="J14" s="78"/>
      <c r="K14" s="78"/>
      <c r="L14" s="78"/>
      <c r="M14" s="78"/>
      <c r="N14" s="78"/>
      <c r="O14" s="79"/>
      <c r="P14" s="79"/>
      <c r="Q14" s="78"/>
    </row>
    <row r="15" spans="1:17" s="75" customFormat="1" ht="18">
      <c r="A15" s="80" t="s">
        <v>119</v>
      </c>
      <c r="B15" s="83" t="s">
        <v>143</v>
      </c>
      <c r="C15" s="80"/>
      <c r="D15" s="80">
        <v>1</v>
      </c>
      <c r="E15" s="82" t="s">
        <v>6</v>
      </c>
      <c r="F15" s="81"/>
      <c r="G15" s="81">
        <f>SUM(G16:G26)</f>
        <v>5780000</v>
      </c>
      <c r="H15" s="80"/>
      <c r="J15" s="80"/>
      <c r="K15" s="83"/>
      <c r="L15" s="80"/>
      <c r="M15" s="80"/>
      <c r="N15" s="82"/>
      <c r="O15" s="81"/>
      <c r="P15" s="81"/>
      <c r="Q15" s="80"/>
    </row>
    <row r="16" spans="1:17" ht="18.75">
      <c r="A16" s="78"/>
      <c r="B16" s="84" t="s">
        <v>137</v>
      </c>
      <c r="C16" s="85" t="s">
        <v>81</v>
      </c>
      <c r="D16" s="86">
        <f>+'見積内訳書（例） (説明入り)'!F27</f>
        <v>0.25</v>
      </c>
      <c r="E16" s="78" t="s">
        <v>40</v>
      </c>
      <c r="F16" s="79">
        <f>+'見積内訳書（例） (説明入り)'!G27+'見積内訳書（例） (説明入り)'!G29</f>
        <v>865200</v>
      </c>
      <c r="G16" s="79">
        <f>+ROUND(D16*F16*$H$27,-3)</f>
        <v>418000</v>
      </c>
      <c r="H16" s="78" t="s">
        <v>27</v>
      </c>
      <c r="J16" s="78"/>
      <c r="K16" s="84"/>
      <c r="L16" s="85"/>
      <c r="M16" s="86"/>
      <c r="N16" s="78"/>
      <c r="O16" s="79"/>
      <c r="P16" s="79"/>
      <c r="Q16" s="78"/>
    </row>
    <row r="17" spans="1:17" ht="18.75">
      <c r="A17" s="78"/>
      <c r="B17" s="78"/>
      <c r="C17" s="85" t="s">
        <v>69</v>
      </c>
      <c r="D17" s="87">
        <f>+'見積内訳書（例） (説明入り)'!F31</f>
        <v>250</v>
      </c>
      <c r="E17" s="78" t="s">
        <v>138</v>
      </c>
      <c r="F17" s="79">
        <f>+'見積内訳書（例） (説明入り)'!G31</f>
        <v>1646</v>
      </c>
      <c r="G17" s="79">
        <f aca="true" t="shared" si="0" ref="G17:G26">+ROUND(D17*F17*$H$27,-3)</f>
        <v>795000</v>
      </c>
      <c r="H17" s="78" t="s">
        <v>27</v>
      </c>
      <c r="J17" s="78"/>
      <c r="K17" s="78"/>
      <c r="L17" s="85"/>
      <c r="M17" s="87"/>
      <c r="N17" s="78"/>
      <c r="O17" s="79"/>
      <c r="P17" s="79"/>
      <c r="Q17" s="78"/>
    </row>
    <row r="18" spans="1:17" ht="18.75">
      <c r="A18" s="78"/>
      <c r="B18" s="78"/>
      <c r="C18" s="78" t="s">
        <v>123</v>
      </c>
      <c r="D18" s="87">
        <f>+'見積内訳書（例） (説明入り)'!F33</f>
        <v>3700</v>
      </c>
      <c r="E18" s="78" t="s">
        <v>139</v>
      </c>
      <c r="F18" s="79">
        <f>+'見積内訳書（例） (説明入り)'!G33</f>
        <v>115.1</v>
      </c>
      <c r="G18" s="79">
        <f>+ROUND(D18*F18*$H$27,-3)</f>
        <v>823000</v>
      </c>
      <c r="H18" s="78" t="s">
        <v>27</v>
      </c>
      <c r="J18" s="78"/>
      <c r="K18" s="78"/>
      <c r="L18" s="78"/>
      <c r="M18" s="87"/>
      <c r="N18" s="78"/>
      <c r="O18" s="79"/>
      <c r="P18" s="79"/>
      <c r="Q18" s="78"/>
    </row>
    <row r="19" spans="1:17" ht="18.75">
      <c r="A19" s="78"/>
      <c r="B19" s="78"/>
      <c r="C19" s="78" t="s">
        <v>124</v>
      </c>
      <c r="D19" s="87">
        <f>+'見積内訳書（例） (説明入り)'!F35</f>
        <v>500</v>
      </c>
      <c r="E19" s="78" t="s">
        <v>140</v>
      </c>
      <c r="F19" s="79">
        <f>+'見積内訳書（例） (説明入り)'!G35</f>
        <v>362.2</v>
      </c>
      <c r="G19" s="79">
        <f t="shared" si="0"/>
        <v>350000</v>
      </c>
      <c r="H19" s="78" t="s">
        <v>27</v>
      </c>
      <c r="J19" s="78"/>
      <c r="K19" s="78"/>
      <c r="L19" s="78"/>
      <c r="M19" s="87"/>
      <c r="N19" s="78"/>
      <c r="O19" s="79"/>
      <c r="P19" s="79"/>
      <c r="Q19" s="78"/>
    </row>
    <row r="20" spans="1:17" ht="18.75">
      <c r="A20" s="78"/>
      <c r="B20" s="78"/>
      <c r="C20" s="78" t="s">
        <v>125</v>
      </c>
      <c r="D20" s="87">
        <f>+'見積内訳書（例） (説明入り)'!F37</f>
        <v>350</v>
      </c>
      <c r="E20" s="78" t="s">
        <v>139</v>
      </c>
      <c r="F20" s="79">
        <f>+'見積内訳書（例） (説明入り)'!G37</f>
        <v>1824.3</v>
      </c>
      <c r="G20" s="79">
        <f>+ROUNDDOWN(D20*F20*$H$27,-3)</f>
        <v>1233000</v>
      </c>
      <c r="H20" s="78" t="s">
        <v>27</v>
      </c>
      <c r="J20" s="78"/>
      <c r="K20" s="78"/>
      <c r="L20" s="78"/>
      <c r="M20" s="87"/>
      <c r="N20" s="78"/>
      <c r="O20" s="79"/>
      <c r="P20" s="79"/>
      <c r="Q20" s="78"/>
    </row>
    <row r="21" spans="1:17" ht="18.75">
      <c r="A21" s="78"/>
      <c r="B21" s="78"/>
      <c r="C21" s="78" t="s">
        <v>123</v>
      </c>
      <c r="D21" s="87">
        <f>+'見積内訳書（例） (説明入り)'!F39</f>
        <v>350</v>
      </c>
      <c r="E21" s="78" t="s">
        <v>139</v>
      </c>
      <c r="F21" s="79">
        <f>+'見積内訳書（例） (説明入り)'!G39</f>
        <v>115.1</v>
      </c>
      <c r="G21" s="79">
        <f t="shared" si="0"/>
        <v>78000</v>
      </c>
      <c r="H21" s="78" t="s">
        <v>27</v>
      </c>
      <c r="J21" s="78"/>
      <c r="K21" s="78"/>
      <c r="L21" s="78"/>
      <c r="M21" s="87"/>
      <c r="N21" s="78"/>
      <c r="O21" s="79"/>
      <c r="P21" s="79"/>
      <c r="Q21" s="78"/>
    </row>
    <row r="22" spans="1:17" ht="18.75">
      <c r="A22" s="78"/>
      <c r="B22" s="78" t="s">
        <v>129</v>
      </c>
      <c r="C22" s="78" t="s">
        <v>126</v>
      </c>
      <c r="D22" s="87">
        <f>+'見積内訳書（例） (説明入り)'!F41</f>
        <v>210</v>
      </c>
      <c r="E22" s="78" t="s">
        <v>140</v>
      </c>
      <c r="F22" s="79">
        <f>+'見積内訳書（例） (説明入り)'!G41</f>
        <v>836</v>
      </c>
      <c r="G22" s="79">
        <f t="shared" si="0"/>
        <v>339000</v>
      </c>
      <c r="H22" s="78" t="s">
        <v>27</v>
      </c>
      <c r="J22" s="78"/>
      <c r="K22" s="78"/>
      <c r="L22" s="78"/>
      <c r="M22" s="87"/>
      <c r="N22" s="78"/>
      <c r="O22" s="79"/>
      <c r="P22" s="79"/>
      <c r="Q22" s="78"/>
    </row>
    <row r="23" spans="1:17" ht="18.75">
      <c r="A23" s="78"/>
      <c r="B23" s="78"/>
      <c r="C23" s="78" t="s">
        <v>127</v>
      </c>
      <c r="D23" s="87">
        <f>+'見積内訳書（例） (説明入り)'!F43</f>
        <v>150</v>
      </c>
      <c r="E23" s="78" t="s">
        <v>140</v>
      </c>
      <c r="F23" s="79">
        <f>+'見積内訳書（例） (説明入り)'!G43+227</f>
        <v>1229</v>
      </c>
      <c r="G23" s="79">
        <f>+ROUND(D23*F23*$H$27,-3)</f>
        <v>356000</v>
      </c>
      <c r="H23" s="78" t="s">
        <v>27</v>
      </c>
      <c r="J23" s="78"/>
      <c r="K23" s="78"/>
      <c r="L23" s="78"/>
      <c r="M23" s="87"/>
      <c r="N23" s="78"/>
      <c r="O23" s="79"/>
      <c r="P23" s="79"/>
      <c r="Q23" s="78"/>
    </row>
    <row r="24" spans="1:17" ht="18.75">
      <c r="A24" s="78"/>
      <c r="B24" s="78" t="s">
        <v>132</v>
      </c>
      <c r="C24" s="78" t="s">
        <v>133</v>
      </c>
      <c r="D24" s="87">
        <f>+'見積内訳書（例） (説明入り)'!F47</f>
        <v>12</v>
      </c>
      <c r="E24" s="78" t="s">
        <v>50</v>
      </c>
      <c r="F24" s="79">
        <f>+'見積内訳書（例） (説明入り)'!G47+'見積内訳書（例） (説明入り)'!G49</f>
        <v>4766</v>
      </c>
      <c r="G24" s="79">
        <f t="shared" si="0"/>
        <v>111000</v>
      </c>
      <c r="H24" s="78" t="s">
        <v>27</v>
      </c>
      <c r="J24" s="78"/>
      <c r="K24" s="78"/>
      <c r="L24" s="78"/>
      <c r="M24" s="87"/>
      <c r="N24" s="78"/>
      <c r="O24" s="79"/>
      <c r="P24" s="79"/>
      <c r="Q24" s="78"/>
    </row>
    <row r="25" spans="1:17" ht="18.75">
      <c r="A25" s="78"/>
      <c r="B25" s="129" t="s">
        <v>135</v>
      </c>
      <c r="C25" s="129" t="s">
        <v>128</v>
      </c>
      <c r="D25" s="130">
        <f>+'見積内訳書（例） (説明入り)'!F51</f>
        <v>200</v>
      </c>
      <c r="E25" s="129" t="s">
        <v>140</v>
      </c>
      <c r="F25" s="131">
        <f>+'見積内訳書（例） (説明入り)'!G51</f>
        <v>1353</v>
      </c>
      <c r="G25" s="131">
        <f t="shared" si="0"/>
        <v>523000</v>
      </c>
      <c r="H25" s="129" t="s">
        <v>27</v>
      </c>
      <c r="J25" s="78"/>
      <c r="K25" s="78"/>
      <c r="L25" s="78"/>
      <c r="M25" s="87"/>
      <c r="N25" s="78"/>
      <c r="O25" s="79"/>
      <c r="P25" s="79"/>
      <c r="Q25" s="78"/>
    </row>
    <row r="26" spans="1:17" ht="19.5" thickBot="1">
      <c r="A26" s="78"/>
      <c r="B26" s="129" t="s">
        <v>141</v>
      </c>
      <c r="C26" s="129" t="s">
        <v>142</v>
      </c>
      <c r="D26" s="130">
        <f>+'見積内訳書（例） (説明入り)'!F53</f>
        <v>30</v>
      </c>
      <c r="E26" s="129" t="s">
        <v>54</v>
      </c>
      <c r="F26" s="131">
        <f>+'見積内訳書（例） (説明入り)'!G53</f>
        <v>13000</v>
      </c>
      <c r="G26" s="132">
        <f t="shared" si="0"/>
        <v>754000</v>
      </c>
      <c r="H26" s="133" t="s">
        <v>27</v>
      </c>
      <c r="J26" s="78"/>
      <c r="K26" s="78"/>
      <c r="L26" s="78"/>
      <c r="M26" s="87"/>
      <c r="N26" s="78"/>
      <c r="O26" s="79"/>
      <c r="P26" s="79"/>
      <c r="Q26" s="78"/>
    </row>
    <row r="27" spans="1:17" ht="19.5" thickBot="1">
      <c r="A27" s="80"/>
      <c r="B27" s="78"/>
      <c r="C27" s="78"/>
      <c r="D27" s="78"/>
      <c r="E27" s="78"/>
      <c r="F27" s="88"/>
      <c r="G27" s="91">
        <f>+'見積内訳書（例） (説明入り)'!H71</f>
        <v>5780000</v>
      </c>
      <c r="H27" s="92">
        <f>+ROUND((G27)/'見積内訳書（例） (説明入り)'!H25,4)</f>
        <v>1.9323</v>
      </c>
      <c r="J27" s="78"/>
      <c r="K27" s="78"/>
      <c r="L27" s="78"/>
      <c r="M27" s="78"/>
      <c r="N27" s="78"/>
      <c r="O27" s="79"/>
      <c r="P27" s="79"/>
      <c r="Q27" s="78"/>
    </row>
    <row r="28" spans="1:17" s="75" customFormat="1" ht="18">
      <c r="A28" s="210" t="s">
        <v>247</v>
      </c>
      <c r="B28" s="80"/>
      <c r="C28" s="80"/>
      <c r="D28" s="80"/>
      <c r="E28" s="80"/>
      <c r="F28" s="174"/>
      <c r="G28" s="176">
        <f>SUM(G15,G9,G7,G5)</f>
        <v>8908000</v>
      </c>
      <c r="H28" s="175"/>
      <c r="J28" s="80"/>
      <c r="K28" s="80"/>
      <c r="L28" s="80"/>
      <c r="M28" s="80"/>
      <c r="N28" s="80"/>
      <c r="O28" s="81"/>
      <c r="P28" s="81"/>
      <c r="Q28" s="80"/>
    </row>
    <row r="29" spans="1:17" s="75" customFormat="1" ht="18">
      <c r="A29" s="211"/>
      <c r="B29" s="80"/>
      <c r="C29" s="80"/>
      <c r="D29" s="80"/>
      <c r="E29" s="80"/>
      <c r="F29" s="174"/>
      <c r="G29" s="97">
        <f>+ROUNDDOWN(G28*0.98,-3)</f>
        <v>8729000</v>
      </c>
      <c r="H29" s="138" t="s">
        <v>246</v>
      </c>
      <c r="J29" s="80"/>
      <c r="K29" s="80"/>
      <c r="L29" s="80"/>
      <c r="M29" s="80"/>
      <c r="N29" s="80"/>
      <c r="O29" s="81"/>
      <c r="P29" s="81"/>
      <c r="Q29" s="80"/>
    </row>
    <row r="30" spans="1:17" ht="9.75" customHeight="1">
      <c r="A30" s="78"/>
      <c r="B30" s="78"/>
      <c r="C30" s="78"/>
      <c r="D30" s="78"/>
      <c r="E30" s="78"/>
      <c r="F30" s="79"/>
      <c r="G30" s="89"/>
      <c r="H30" s="90"/>
      <c r="J30" s="78"/>
      <c r="K30" s="78"/>
      <c r="L30" s="78"/>
      <c r="M30" s="78"/>
      <c r="N30" s="78"/>
      <c r="O30" s="79"/>
      <c r="P30" s="79"/>
      <c r="Q30" s="78"/>
    </row>
    <row r="31" spans="1:17" s="75" customFormat="1" ht="18">
      <c r="A31" s="80" t="s">
        <v>144</v>
      </c>
      <c r="B31" s="80" t="s">
        <v>146</v>
      </c>
      <c r="C31" s="80" t="s">
        <v>145</v>
      </c>
      <c r="D31" s="81">
        <v>3700</v>
      </c>
      <c r="E31" s="80" t="s">
        <v>139</v>
      </c>
      <c r="F31" s="128">
        <v>934</v>
      </c>
      <c r="G31" s="81">
        <f>+INT(D31*F31)</f>
        <v>3455800</v>
      </c>
      <c r="H31" s="80" t="s">
        <v>31</v>
      </c>
      <c r="J31" s="80" t="s">
        <v>144</v>
      </c>
      <c r="K31" s="80" t="s">
        <v>146</v>
      </c>
      <c r="L31" s="80" t="s">
        <v>150</v>
      </c>
      <c r="M31" s="81">
        <v>3700</v>
      </c>
      <c r="N31" s="80" t="s">
        <v>139</v>
      </c>
      <c r="O31" s="128">
        <v>1972</v>
      </c>
      <c r="P31" s="81">
        <f>+INT(M31*O31)</f>
        <v>7296400</v>
      </c>
      <c r="Q31" s="80" t="s">
        <v>31</v>
      </c>
    </row>
    <row r="32" spans="1:17" ht="9.75" customHeight="1" thickBot="1">
      <c r="A32" s="95"/>
      <c r="B32" s="95"/>
      <c r="C32" s="95"/>
      <c r="D32" s="95"/>
      <c r="E32" s="95"/>
      <c r="F32" s="96"/>
      <c r="G32" s="96"/>
      <c r="H32" s="95"/>
      <c r="J32" s="95"/>
      <c r="K32" s="95"/>
      <c r="L32" s="95"/>
      <c r="M32" s="95"/>
      <c r="N32" s="95"/>
      <c r="O32" s="96"/>
      <c r="P32" s="96"/>
      <c r="Q32" s="95"/>
    </row>
    <row r="33" spans="1:17" s="75" customFormat="1" ht="18.75" thickTop="1">
      <c r="A33" s="208" t="s">
        <v>152</v>
      </c>
      <c r="B33" s="93"/>
      <c r="C33" s="93"/>
      <c r="D33" s="93"/>
      <c r="E33" s="93"/>
      <c r="F33" s="94"/>
      <c r="G33" s="173">
        <f>SUM(G5,G7,G9,G15,G31)</f>
        <v>12363800</v>
      </c>
      <c r="H33" s="93"/>
      <c r="J33" s="208" t="s">
        <v>152</v>
      </c>
      <c r="K33" s="93"/>
      <c r="L33" s="93"/>
      <c r="M33" s="93"/>
      <c r="N33" s="93"/>
      <c r="O33" s="94"/>
      <c r="P33" s="173">
        <f>SUM(P5,P31)</f>
        <v>13216400</v>
      </c>
      <c r="Q33" s="93"/>
    </row>
    <row r="34" spans="1:17" s="75" customFormat="1" ht="18">
      <c r="A34" s="209"/>
      <c r="B34" s="134"/>
      <c r="C34" s="135"/>
      <c r="D34" s="135"/>
      <c r="E34" s="135"/>
      <c r="F34" s="136"/>
      <c r="G34" s="137">
        <f>+ROUNDDOWN(G33*0.98,-3)</f>
        <v>12116000</v>
      </c>
      <c r="H34" s="138" t="s">
        <v>246</v>
      </c>
      <c r="J34" s="209"/>
      <c r="K34" s="134"/>
      <c r="L34" s="135"/>
      <c r="M34" s="135"/>
      <c r="N34" s="135"/>
      <c r="O34" s="136"/>
      <c r="P34" s="137">
        <f>+ROUNDDOWN(P33*0.98,-3)</f>
        <v>12952000</v>
      </c>
      <c r="Q34" s="138" t="s">
        <v>246</v>
      </c>
    </row>
    <row r="35" spans="1:17" s="100" customFormat="1" ht="19.5">
      <c r="A35" s="99" t="s">
        <v>153</v>
      </c>
      <c r="B35" s="204" t="s">
        <v>154</v>
      </c>
      <c r="C35" s="205"/>
      <c r="D35" s="205"/>
      <c r="E35" s="205"/>
      <c r="F35" s="205"/>
      <c r="G35" s="205"/>
      <c r="H35" s="206"/>
      <c r="J35" s="99" t="s">
        <v>153</v>
      </c>
      <c r="K35" s="204" t="s">
        <v>155</v>
      </c>
      <c r="L35" s="205"/>
      <c r="M35" s="205"/>
      <c r="N35" s="205"/>
      <c r="O35" s="205"/>
      <c r="P35" s="205"/>
      <c r="Q35" s="206"/>
    </row>
    <row r="36" spans="1:17" s="75" customFormat="1" ht="18">
      <c r="A36" s="98" t="s">
        <v>156</v>
      </c>
      <c r="B36" s="80"/>
      <c r="C36" s="80"/>
      <c r="D36" s="80"/>
      <c r="E36" s="80"/>
      <c r="F36" s="81"/>
      <c r="G36" s="184">
        <f>+INT((G5+G7+G9+G15)/D31)</f>
        <v>2407</v>
      </c>
      <c r="H36" s="193" t="s">
        <v>261</v>
      </c>
      <c r="J36" s="80"/>
      <c r="K36" s="80"/>
      <c r="L36" s="80"/>
      <c r="M36" s="80"/>
      <c r="N36" s="80"/>
      <c r="O36" s="81"/>
      <c r="P36" s="81"/>
      <c r="Q36" s="80"/>
    </row>
  </sheetData>
  <sheetProtection/>
  <mergeCells count="7">
    <mergeCell ref="J7:Q7"/>
    <mergeCell ref="B35:H35"/>
    <mergeCell ref="K35:Q35"/>
    <mergeCell ref="A1:Q1"/>
    <mergeCell ref="A33:A34"/>
    <mergeCell ref="J33:J34"/>
    <mergeCell ref="A28:A29"/>
  </mergeCells>
  <printOptions horizontalCentered="1" verticalCentered="1"/>
  <pageMargins left="0.1968503937007874" right="0.1968503937007874" top="0.5905511811023623" bottom="0.5905511811023623" header="0.31496062992125984" footer="0.31496062992125984"/>
  <pageSetup fitToHeight="0" fitToWidth="1" horizontalDpi="600" verticalDpi="6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view="pageBreakPreview" zoomScaleSheetLayoutView="100" zoomScalePageLayoutView="0" workbookViewId="0" topLeftCell="A19">
      <selection activeCell="G37" sqref="G37"/>
    </sheetView>
  </sheetViews>
  <sheetFormatPr defaultColWidth="8.75390625" defaultRowHeight="13.5"/>
  <cols>
    <col min="1" max="1" width="17.625" style="72" customWidth="1"/>
    <col min="2" max="2" width="11.75390625" style="72" customWidth="1"/>
    <col min="3" max="3" width="11.875" style="72" customWidth="1"/>
    <col min="4" max="4" width="7.625" style="72" customWidth="1"/>
    <col min="5" max="5" width="5.75390625" style="72" customWidth="1"/>
    <col min="6" max="7" width="10.625" style="73" customWidth="1"/>
    <col min="8" max="8" width="11.625" style="72" customWidth="1"/>
    <col min="9" max="9" width="8.75390625" style="72" customWidth="1"/>
    <col min="10" max="10" width="17.625" style="72" customWidth="1"/>
    <col min="11" max="11" width="11.75390625" style="72" customWidth="1"/>
    <col min="12" max="12" width="11.875" style="72" customWidth="1"/>
    <col min="13" max="13" width="7.625" style="72" customWidth="1"/>
    <col min="14" max="14" width="5.75390625" style="72" customWidth="1"/>
    <col min="15" max="16" width="10.625" style="73" customWidth="1"/>
    <col min="17" max="17" width="11.625" style="72" customWidth="1"/>
    <col min="18" max="16384" width="8.75390625" style="72" customWidth="1"/>
  </cols>
  <sheetData>
    <row r="1" spans="1:17" ht="19.5" customHeight="1">
      <c r="A1" s="207" t="s">
        <v>267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</row>
    <row r="2" spans="1:11" ht="18.75">
      <c r="A2" s="71" t="s">
        <v>105</v>
      </c>
      <c r="B2" s="101" t="s">
        <v>162</v>
      </c>
      <c r="J2" s="71" t="s">
        <v>105</v>
      </c>
      <c r="K2" s="101" t="s">
        <v>159</v>
      </c>
    </row>
    <row r="3" spans="1:17" s="74" customFormat="1" ht="18.75">
      <c r="A3" s="76" t="s">
        <v>106</v>
      </c>
      <c r="B3" s="76" t="s">
        <v>107</v>
      </c>
      <c r="C3" s="76" t="s">
        <v>108</v>
      </c>
      <c r="D3" s="76" t="s">
        <v>109</v>
      </c>
      <c r="E3" s="76" t="s">
        <v>10</v>
      </c>
      <c r="F3" s="77" t="s">
        <v>94</v>
      </c>
      <c r="G3" s="77" t="s">
        <v>110</v>
      </c>
      <c r="H3" s="76" t="s">
        <v>111</v>
      </c>
      <c r="J3" s="76" t="s">
        <v>106</v>
      </c>
      <c r="K3" s="76" t="s">
        <v>107</v>
      </c>
      <c r="L3" s="76" t="s">
        <v>108</v>
      </c>
      <c r="M3" s="76" t="s">
        <v>109</v>
      </c>
      <c r="N3" s="76" t="s">
        <v>10</v>
      </c>
      <c r="O3" s="77" t="s">
        <v>94</v>
      </c>
      <c r="P3" s="77" t="s">
        <v>110</v>
      </c>
      <c r="Q3" s="76" t="s">
        <v>111</v>
      </c>
    </row>
    <row r="4" spans="1:17" ht="10.5" customHeight="1">
      <c r="A4" s="78"/>
      <c r="B4" s="78"/>
      <c r="C4" s="78"/>
      <c r="D4" s="78"/>
      <c r="E4" s="78"/>
      <c r="F4" s="79"/>
      <c r="G4" s="79"/>
      <c r="H4" s="78"/>
      <c r="J4" s="78"/>
      <c r="K4" s="78"/>
      <c r="L4" s="78"/>
      <c r="M4" s="78"/>
      <c r="N4" s="78"/>
      <c r="O4" s="79"/>
      <c r="P4" s="79"/>
      <c r="Q4" s="78"/>
    </row>
    <row r="5" spans="1:17" s="75" customFormat="1" ht="18">
      <c r="A5" s="80" t="s">
        <v>112</v>
      </c>
      <c r="B5" s="80" t="s">
        <v>115</v>
      </c>
      <c r="C5" s="80" t="s">
        <v>121</v>
      </c>
      <c r="D5" s="81">
        <f>+'見積内訳書（例） (説明入り)'!F9</f>
        <v>2500</v>
      </c>
      <c r="E5" s="82" t="s">
        <v>15</v>
      </c>
      <c r="F5" s="81">
        <f>+'見積内訳書（例） (説明入り)'!G9</f>
        <v>120</v>
      </c>
      <c r="G5" s="81">
        <f>+INT(D5*F5)</f>
        <v>300000</v>
      </c>
      <c r="H5" s="80" t="s">
        <v>122</v>
      </c>
      <c r="J5" s="80" t="s">
        <v>151</v>
      </c>
      <c r="K5" s="80"/>
      <c r="L5" s="80"/>
      <c r="M5" s="81">
        <v>3700</v>
      </c>
      <c r="N5" s="82" t="s">
        <v>15</v>
      </c>
      <c r="O5" s="81">
        <v>1600</v>
      </c>
      <c r="P5" s="81">
        <f>+INT(M5*O5)</f>
        <v>5920000</v>
      </c>
      <c r="Q5" s="80" t="s">
        <v>157</v>
      </c>
    </row>
    <row r="6" spans="1:17" ht="9.75" customHeight="1">
      <c r="A6" s="78"/>
      <c r="B6" s="78"/>
      <c r="C6" s="78"/>
      <c r="D6" s="78"/>
      <c r="E6" s="78"/>
      <c r="F6" s="79"/>
      <c r="G6" s="79"/>
      <c r="H6" s="78"/>
      <c r="J6" s="78"/>
      <c r="K6" s="78"/>
      <c r="L6" s="78"/>
      <c r="M6" s="78"/>
      <c r="N6" s="78"/>
      <c r="O6" s="79"/>
      <c r="P6" s="79"/>
      <c r="Q6" s="78"/>
    </row>
    <row r="7" spans="1:17" s="75" customFormat="1" ht="36" customHeight="1">
      <c r="A7" s="80" t="s">
        <v>114</v>
      </c>
      <c r="B7" s="83" t="s">
        <v>130</v>
      </c>
      <c r="C7" s="83" t="s">
        <v>120</v>
      </c>
      <c r="D7" s="127">
        <f>+'見積内訳書（例） (説明入り)'!F11</f>
        <v>1</v>
      </c>
      <c r="E7" s="82" t="s">
        <v>6</v>
      </c>
      <c r="F7" s="81">
        <f>+'見積内訳書（例） (説明入り)'!G11</f>
        <v>145000</v>
      </c>
      <c r="G7" s="81">
        <f>+INT(D7*F7)</f>
        <v>145000</v>
      </c>
      <c r="H7" s="80" t="s">
        <v>27</v>
      </c>
      <c r="J7" s="201" t="s">
        <v>158</v>
      </c>
      <c r="K7" s="202"/>
      <c r="L7" s="202"/>
      <c r="M7" s="202"/>
      <c r="N7" s="202"/>
      <c r="O7" s="202"/>
      <c r="P7" s="202"/>
      <c r="Q7" s="203"/>
    </row>
    <row r="8" spans="1:17" ht="9" customHeight="1">
      <c r="A8" s="78"/>
      <c r="B8" s="78"/>
      <c r="C8" s="78"/>
      <c r="D8" s="78"/>
      <c r="E8" s="78"/>
      <c r="F8" s="79"/>
      <c r="G8" s="79"/>
      <c r="H8" s="78"/>
      <c r="J8" s="78"/>
      <c r="K8" s="78"/>
      <c r="L8" s="78"/>
      <c r="M8" s="78"/>
      <c r="N8" s="78"/>
      <c r="O8" s="79"/>
      <c r="P8" s="79"/>
      <c r="Q8" s="78"/>
    </row>
    <row r="9" spans="1:17" s="75" customFormat="1" ht="36">
      <c r="A9" s="80" t="s">
        <v>113</v>
      </c>
      <c r="B9" s="83" t="s">
        <v>131</v>
      </c>
      <c r="C9" s="80"/>
      <c r="D9" s="127">
        <f>+'見積内訳書（例） (説明入り)'!F13</f>
        <v>1</v>
      </c>
      <c r="E9" s="82" t="s">
        <v>6</v>
      </c>
      <c r="F9" s="81"/>
      <c r="G9" s="81">
        <f>SUM(G10:G13)</f>
        <v>2683000</v>
      </c>
      <c r="H9" s="80"/>
      <c r="J9" s="80" t="s">
        <v>144</v>
      </c>
      <c r="K9" s="80" t="s">
        <v>146</v>
      </c>
      <c r="L9" s="80" t="s">
        <v>150</v>
      </c>
      <c r="M9" s="81">
        <v>3700</v>
      </c>
      <c r="N9" s="80" t="s">
        <v>139</v>
      </c>
      <c r="O9" s="128">
        <v>1972</v>
      </c>
      <c r="P9" s="81">
        <f>+INT(M9*O9)</f>
        <v>7296400</v>
      </c>
      <c r="Q9" s="80" t="s">
        <v>31</v>
      </c>
    </row>
    <row r="10" spans="1:17" ht="19.5" thickBot="1">
      <c r="A10" s="78"/>
      <c r="B10" s="78" t="s">
        <v>20</v>
      </c>
      <c r="C10" s="78" t="s">
        <v>116</v>
      </c>
      <c r="D10" s="87">
        <f>+'見積内訳書（例） (説明入り)'!F15</f>
        <v>1</v>
      </c>
      <c r="E10" s="76" t="s">
        <v>6</v>
      </c>
      <c r="F10" s="79">
        <f>+'見積内訳書（例） (説明入り)'!G15</f>
        <v>1773000</v>
      </c>
      <c r="G10" s="79">
        <f>+INT(D10*F10)</f>
        <v>1773000</v>
      </c>
      <c r="H10" s="78" t="s">
        <v>27</v>
      </c>
      <c r="J10" s="95"/>
      <c r="K10" s="95"/>
      <c r="L10" s="95"/>
      <c r="M10" s="95"/>
      <c r="N10" s="95"/>
      <c r="O10" s="96"/>
      <c r="P10" s="96"/>
      <c r="Q10" s="95"/>
    </row>
    <row r="11" spans="1:17" ht="19.5" thickTop="1">
      <c r="A11" s="78"/>
      <c r="B11" s="78" t="s">
        <v>117</v>
      </c>
      <c r="C11" s="78" t="s">
        <v>38</v>
      </c>
      <c r="D11" s="86">
        <f>+'見積内訳書（例） (説明入り)'!F17</f>
        <v>0.25</v>
      </c>
      <c r="E11" s="76" t="s">
        <v>40</v>
      </c>
      <c r="F11" s="79">
        <f>+'見積内訳書（例） (説明入り)'!G17</f>
        <v>632000</v>
      </c>
      <c r="G11" s="79">
        <f>+INT(D11*F11)</f>
        <v>158000</v>
      </c>
      <c r="H11" s="78" t="s">
        <v>27</v>
      </c>
      <c r="J11" s="208" t="s">
        <v>152</v>
      </c>
      <c r="K11" s="93"/>
      <c r="L11" s="93"/>
      <c r="M11" s="93"/>
      <c r="N11" s="93"/>
      <c r="O11" s="94"/>
      <c r="P11" s="173">
        <f>SUM(P5,P9)</f>
        <v>13216400</v>
      </c>
      <c r="Q11" s="93"/>
    </row>
    <row r="12" spans="1:17" ht="32.25" customHeight="1">
      <c r="A12" s="78"/>
      <c r="B12" s="78" t="s">
        <v>21</v>
      </c>
      <c r="C12" s="102" t="s">
        <v>206</v>
      </c>
      <c r="D12" s="87">
        <f>+'見積内訳書（例） (説明入り)'!F19</f>
        <v>0</v>
      </c>
      <c r="E12" s="76" t="s">
        <v>26</v>
      </c>
      <c r="F12" s="79">
        <f>+'見積内訳書（例） (説明入り)'!G19</f>
        <v>17700</v>
      </c>
      <c r="G12" s="79">
        <f>+INT(D12*F12)</f>
        <v>0</v>
      </c>
      <c r="H12" s="78" t="s">
        <v>27</v>
      </c>
      <c r="J12" s="209"/>
      <c r="K12" s="134"/>
      <c r="L12" s="135"/>
      <c r="M12" s="135"/>
      <c r="N12" s="135"/>
      <c r="O12" s="136"/>
      <c r="P12" s="182">
        <f>+ROUNDDOWN(P11*0.98,-3)</f>
        <v>12952000</v>
      </c>
      <c r="Q12" s="183" t="s">
        <v>246</v>
      </c>
    </row>
    <row r="13" spans="1:17" ht="19.5">
      <c r="A13" s="78"/>
      <c r="B13" s="78" t="s">
        <v>22</v>
      </c>
      <c r="C13" s="78" t="s">
        <v>118</v>
      </c>
      <c r="D13" s="87">
        <f>+'見積内訳書（例） (説明入り)'!F21</f>
        <v>1</v>
      </c>
      <c r="E13" s="76" t="s">
        <v>6</v>
      </c>
      <c r="F13" s="79">
        <f>+'見積内訳書（例） (説明入り)'!G21</f>
        <v>752000</v>
      </c>
      <c r="G13" s="79">
        <f>+INT(D13*F13)</f>
        <v>752000</v>
      </c>
      <c r="H13" s="78" t="s">
        <v>27</v>
      </c>
      <c r="J13" s="99" t="s">
        <v>153</v>
      </c>
      <c r="K13" s="212" t="s">
        <v>155</v>
      </c>
      <c r="L13" s="212"/>
      <c r="M13" s="212"/>
      <c r="N13" s="212"/>
      <c r="O13" s="212"/>
      <c r="P13" s="212"/>
      <c r="Q13" s="212"/>
    </row>
    <row r="14" spans="1:17" ht="9" customHeight="1">
      <c r="A14" s="78"/>
      <c r="B14" s="78"/>
      <c r="C14" s="78"/>
      <c r="D14" s="78"/>
      <c r="E14" s="78"/>
      <c r="F14" s="79"/>
      <c r="G14" s="79"/>
      <c r="H14" s="78"/>
      <c r="J14" s="103"/>
      <c r="K14" s="103"/>
      <c r="L14" s="103"/>
      <c r="M14" s="103"/>
      <c r="N14" s="103"/>
      <c r="O14" s="104"/>
      <c r="P14" s="104"/>
      <c r="Q14" s="103"/>
    </row>
    <row r="15" spans="1:10" s="75" customFormat="1" ht="18.75">
      <c r="A15" s="80" t="s">
        <v>119</v>
      </c>
      <c r="B15" s="83" t="s">
        <v>143</v>
      </c>
      <c r="C15" s="80"/>
      <c r="D15" s="80">
        <v>1</v>
      </c>
      <c r="E15" s="82" t="s">
        <v>6</v>
      </c>
      <c r="F15" s="81"/>
      <c r="G15" s="81">
        <f>SUM(G16:G26)</f>
        <v>5780000</v>
      </c>
      <c r="H15" s="80"/>
      <c r="J15" s="185" t="s">
        <v>248</v>
      </c>
    </row>
    <row r="16" spans="1:8" ht="18.75">
      <c r="A16" s="78"/>
      <c r="B16" s="84" t="s">
        <v>137</v>
      </c>
      <c r="C16" s="85" t="s">
        <v>81</v>
      </c>
      <c r="D16" s="86">
        <f>+'見積内訳書（例） (説明入り)'!F27</f>
        <v>0.25</v>
      </c>
      <c r="E16" s="78" t="s">
        <v>40</v>
      </c>
      <c r="F16" s="79">
        <f>+'見積内訳書（例） (説明入り)'!G27+'見積内訳書（例） (説明入り)'!G29</f>
        <v>865200</v>
      </c>
      <c r="G16" s="79">
        <f>+ROUND(D16*F16*$H$27,-3)</f>
        <v>418000</v>
      </c>
      <c r="H16" s="78" t="s">
        <v>27</v>
      </c>
    </row>
    <row r="17" spans="1:10" ht="18.75">
      <c r="A17" s="78"/>
      <c r="B17" s="78"/>
      <c r="C17" s="85" t="s">
        <v>69</v>
      </c>
      <c r="D17" s="87">
        <f>+'見積内訳書（例） (説明入り)'!F31</f>
        <v>250</v>
      </c>
      <c r="E17" s="78" t="s">
        <v>138</v>
      </c>
      <c r="F17" s="79">
        <f>+'見積内訳書（例） (説明入り)'!G31</f>
        <v>1646</v>
      </c>
      <c r="G17" s="79">
        <f aca="true" t="shared" si="0" ref="G17:G26">+ROUND(D17*F17*$H$27,-3)</f>
        <v>795000</v>
      </c>
      <c r="H17" s="78" t="s">
        <v>27</v>
      </c>
      <c r="J17" s="116" t="s">
        <v>254</v>
      </c>
    </row>
    <row r="18" spans="1:8" ht="18.75">
      <c r="A18" s="78"/>
      <c r="B18" s="78"/>
      <c r="C18" s="78" t="s">
        <v>249</v>
      </c>
      <c r="D18" s="87">
        <f>+'見積内訳書（例） (説明入り)'!F33</f>
        <v>3700</v>
      </c>
      <c r="E18" s="78" t="s">
        <v>139</v>
      </c>
      <c r="F18" s="186">
        <f>+'見積内訳書（例） (説明入り)'!G33</f>
        <v>115.1</v>
      </c>
      <c r="G18" s="79">
        <f>+ROUND(D18*F18*$H$27,-3)</f>
        <v>823000</v>
      </c>
      <c r="H18" s="78" t="s">
        <v>27</v>
      </c>
    </row>
    <row r="19" spans="1:17" ht="18.75">
      <c r="A19" s="78"/>
      <c r="B19" s="78"/>
      <c r="C19" s="78" t="s">
        <v>124</v>
      </c>
      <c r="D19" s="87">
        <f>+'見積内訳書（例） (説明入り)'!F35</f>
        <v>500</v>
      </c>
      <c r="E19" s="78" t="s">
        <v>140</v>
      </c>
      <c r="F19" s="186">
        <f>+'見積内訳書（例） (説明入り)'!G35</f>
        <v>362.2</v>
      </c>
      <c r="G19" s="79">
        <f t="shared" si="0"/>
        <v>350000</v>
      </c>
      <c r="H19" s="78" t="s">
        <v>27</v>
      </c>
      <c r="J19" s="119" t="s">
        <v>255</v>
      </c>
      <c r="K19" s="177"/>
      <c r="L19" s="105"/>
      <c r="M19" s="105"/>
      <c r="N19" s="178"/>
      <c r="O19" s="106"/>
      <c r="P19" s="106"/>
      <c r="Q19" s="105"/>
    </row>
    <row r="20" spans="1:17" ht="18.75">
      <c r="A20" s="78"/>
      <c r="B20" s="78"/>
      <c r="C20" s="78" t="s">
        <v>125</v>
      </c>
      <c r="D20" s="87">
        <f>+'見積内訳書（例） (説明入り)'!F37</f>
        <v>350</v>
      </c>
      <c r="E20" s="78" t="s">
        <v>139</v>
      </c>
      <c r="F20" s="79">
        <f>+'見積内訳書（例） (説明入り)'!G37</f>
        <v>1824.3</v>
      </c>
      <c r="G20" s="79">
        <f>+ROUNDDOWN(D20*F20*$H$27,-3)</f>
        <v>1233000</v>
      </c>
      <c r="H20" s="78" t="s">
        <v>27</v>
      </c>
      <c r="K20" s="179"/>
      <c r="L20" s="180"/>
      <c r="M20" s="181"/>
      <c r="N20" s="103"/>
      <c r="O20" s="104"/>
      <c r="P20" s="104"/>
      <c r="Q20" s="103"/>
    </row>
    <row r="21" spans="1:17" ht="18.75">
      <c r="A21" s="78"/>
      <c r="B21" s="78"/>
      <c r="C21" s="78" t="s">
        <v>250</v>
      </c>
      <c r="D21" s="87">
        <f>+'見積内訳書（例） (説明入り)'!F39</f>
        <v>350</v>
      </c>
      <c r="E21" s="78" t="s">
        <v>139</v>
      </c>
      <c r="F21" s="186">
        <f>+'見積内訳書（例） (説明入り)'!G39</f>
        <v>115.1</v>
      </c>
      <c r="G21" s="79">
        <f t="shared" si="0"/>
        <v>78000</v>
      </c>
      <c r="H21" s="78" t="s">
        <v>27</v>
      </c>
      <c r="J21" s="80" t="s">
        <v>119</v>
      </c>
      <c r="K21" s="83" t="s">
        <v>143</v>
      </c>
      <c r="L21" s="80"/>
      <c r="M21" s="80">
        <v>1</v>
      </c>
      <c r="N21" s="82" t="s">
        <v>6</v>
      </c>
      <c r="O21" s="81"/>
      <c r="P21" s="117">
        <f>SUM(P22:P32)</f>
        <v>2501000</v>
      </c>
      <c r="Q21" s="118" t="s">
        <v>259</v>
      </c>
    </row>
    <row r="22" spans="1:17" ht="18.75">
      <c r="A22" s="78"/>
      <c r="B22" s="78" t="s">
        <v>129</v>
      </c>
      <c r="C22" s="78" t="s">
        <v>126</v>
      </c>
      <c r="D22" s="87">
        <f>+'見積内訳書（例） (説明入り)'!F41</f>
        <v>210</v>
      </c>
      <c r="E22" s="78" t="s">
        <v>140</v>
      </c>
      <c r="F22" s="187">
        <f>+'見積内訳書（例） (説明入り)'!G41</f>
        <v>836</v>
      </c>
      <c r="G22" s="79">
        <f t="shared" si="0"/>
        <v>339000</v>
      </c>
      <c r="H22" s="78" t="s">
        <v>27</v>
      </c>
      <c r="J22" s="76" t="s">
        <v>167</v>
      </c>
      <c r="K22" s="84" t="s">
        <v>137</v>
      </c>
      <c r="L22" s="85" t="s">
        <v>168</v>
      </c>
      <c r="M22" s="86">
        <f>+D16</f>
        <v>0.25</v>
      </c>
      <c r="N22" s="78" t="s">
        <v>163</v>
      </c>
      <c r="O22" s="110">
        <f>+'見積内訳書（例） (説明入り)'!G27</f>
        <v>580900</v>
      </c>
      <c r="P22" s="120">
        <f>+ROUND(M22*O22*$H$27,-3)</f>
        <v>281000</v>
      </c>
      <c r="Q22" s="78" t="s">
        <v>27</v>
      </c>
    </row>
    <row r="23" spans="1:17" ht="18.75">
      <c r="A23" s="78"/>
      <c r="B23" s="78"/>
      <c r="C23" s="78" t="s">
        <v>127</v>
      </c>
      <c r="D23" s="87">
        <f>+'見積内訳書（例） (説明入り)'!F43</f>
        <v>150</v>
      </c>
      <c r="E23" s="78" t="s">
        <v>140</v>
      </c>
      <c r="F23" s="79">
        <f>+'見積内訳書（例） (説明入り)'!G43+227</f>
        <v>1229</v>
      </c>
      <c r="G23" s="79">
        <f>+ROUND(D23*F23*$H$27,-3)</f>
        <v>356000</v>
      </c>
      <c r="H23" s="78" t="s">
        <v>27</v>
      </c>
      <c r="J23" s="78"/>
      <c r="K23" s="76" t="s">
        <v>169</v>
      </c>
      <c r="L23" s="85" t="s">
        <v>69</v>
      </c>
      <c r="M23" s="87">
        <f>+D17</f>
        <v>250</v>
      </c>
      <c r="N23" s="78" t="s">
        <v>164</v>
      </c>
      <c r="O23" s="79">
        <f aca="true" t="shared" si="1" ref="O23:O29">+F17</f>
        <v>1646</v>
      </c>
      <c r="P23" s="120">
        <f>+ROUND(M23*O23*$H$27,-3)</f>
        <v>795000</v>
      </c>
      <c r="Q23" s="78" t="s">
        <v>27</v>
      </c>
    </row>
    <row r="24" spans="1:17" ht="18.75">
      <c r="A24" s="78"/>
      <c r="B24" s="78" t="s">
        <v>132</v>
      </c>
      <c r="C24" s="78" t="s">
        <v>251</v>
      </c>
      <c r="D24" s="87">
        <f>+'見積内訳書（例） (説明入り)'!F47</f>
        <v>12</v>
      </c>
      <c r="E24" s="78" t="s">
        <v>50</v>
      </c>
      <c r="F24" s="79">
        <f>+'見積内訳書（例） (説明入り)'!G47+'見積内訳書（例） (説明入り)'!G49</f>
        <v>4766</v>
      </c>
      <c r="G24" s="79">
        <f t="shared" si="0"/>
        <v>111000</v>
      </c>
      <c r="H24" s="78" t="s">
        <v>27</v>
      </c>
      <c r="J24" s="78"/>
      <c r="K24" s="76" t="s">
        <v>169</v>
      </c>
      <c r="L24" s="78" t="s">
        <v>249</v>
      </c>
      <c r="M24" s="111">
        <v>1700</v>
      </c>
      <c r="N24" s="78" t="s">
        <v>165</v>
      </c>
      <c r="O24" s="186">
        <f t="shared" si="1"/>
        <v>115.1</v>
      </c>
      <c r="P24" s="120">
        <f>+ROUNDUP(M24*O24*$H$27,-3)</f>
        <v>379000</v>
      </c>
      <c r="Q24" s="78" t="s">
        <v>27</v>
      </c>
    </row>
    <row r="25" spans="1:17" ht="18.75">
      <c r="A25" s="78"/>
      <c r="B25" s="129" t="s">
        <v>135</v>
      </c>
      <c r="C25" s="129" t="s">
        <v>128</v>
      </c>
      <c r="D25" s="130">
        <f>+'見積内訳書（例） (説明入り)'!F51</f>
        <v>200</v>
      </c>
      <c r="E25" s="129" t="s">
        <v>140</v>
      </c>
      <c r="F25" s="131">
        <f>+'見積内訳書（例） (説明入り)'!G51</f>
        <v>1353</v>
      </c>
      <c r="G25" s="131">
        <f t="shared" si="0"/>
        <v>523000</v>
      </c>
      <c r="H25" s="129" t="s">
        <v>27</v>
      </c>
      <c r="J25" s="78"/>
      <c r="K25" s="76" t="s">
        <v>169</v>
      </c>
      <c r="L25" s="78" t="s">
        <v>124</v>
      </c>
      <c r="M25" s="111">
        <v>200</v>
      </c>
      <c r="N25" s="78" t="s">
        <v>166</v>
      </c>
      <c r="O25" s="186">
        <f t="shared" si="1"/>
        <v>362.2</v>
      </c>
      <c r="P25" s="120">
        <f>+ROUND(M25*O25*$H$27,-3)</f>
        <v>140000</v>
      </c>
      <c r="Q25" s="78" t="s">
        <v>27</v>
      </c>
    </row>
    <row r="26" spans="1:17" ht="19.5" thickBot="1">
      <c r="A26" s="78"/>
      <c r="B26" s="129" t="s">
        <v>141</v>
      </c>
      <c r="C26" s="129" t="s">
        <v>142</v>
      </c>
      <c r="D26" s="130">
        <f>+'見積内訳書（例） (説明入り)'!F53</f>
        <v>30</v>
      </c>
      <c r="E26" s="129" t="s">
        <v>54</v>
      </c>
      <c r="F26" s="131">
        <f>+'見積内訳書（例） (説明入り)'!G53</f>
        <v>13000</v>
      </c>
      <c r="G26" s="132">
        <f t="shared" si="0"/>
        <v>754000</v>
      </c>
      <c r="H26" s="133" t="s">
        <v>27</v>
      </c>
      <c r="J26" s="78"/>
      <c r="K26" s="76" t="s">
        <v>169</v>
      </c>
      <c r="L26" s="78" t="s">
        <v>125</v>
      </c>
      <c r="M26" s="111">
        <v>0</v>
      </c>
      <c r="N26" s="78" t="s">
        <v>165</v>
      </c>
      <c r="O26" s="79">
        <f t="shared" si="1"/>
        <v>1824.3</v>
      </c>
      <c r="P26" s="120">
        <f>+ROUNDUP(M26*O26*$H$27,-3)</f>
        <v>0</v>
      </c>
      <c r="Q26" s="78" t="s">
        <v>27</v>
      </c>
    </row>
    <row r="27" spans="1:17" ht="19.5" thickBot="1">
      <c r="A27" s="80"/>
      <c r="B27" s="78"/>
      <c r="C27" s="78"/>
      <c r="D27" s="78"/>
      <c r="E27" s="78"/>
      <c r="F27" s="88"/>
      <c r="G27" s="91">
        <f>+'見積内訳書（例） (説明入り)'!H71</f>
        <v>5780000</v>
      </c>
      <c r="H27" s="92">
        <f>+ROUND((G27)/'見積内訳書（例） (説明入り)'!H25,4)</f>
        <v>1.9323</v>
      </c>
      <c r="J27" s="78"/>
      <c r="K27" s="76" t="s">
        <v>169</v>
      </c>
      <c r="L27" s="78" t="s">
        <v>250</v>
      </c>
      <c r="M27" s="111">
        <v>0</v>
      </c>
      <c r="N27" s="78" t="s">
        <v>165</v>
      </c>
      <c r="O27" s="186">
        <f t="shared" si="1"/>
        <v>115.1</v>
      </c>
      <c r="P27" s="120">
        <f aca="true" t="shared" si="2" ref="P27:P32">+ROUND(M27*O27*$H$27,-3)</f>
        <v>0</v>
      </c>
      <c r="Q27" s="78" t="s">
        <v>27</v>
      </c>
    </row>
    <row r="28" spans="1:17" s="75" customFormat="1" ht="18.75">
      <c r="A28" s="210" t="s">
        <v>247</v>
      </c>
      <c r="B28" s="80"/>
      <c r="C28" s="80"/>
      <c r="D28" s="80"/>
      <c r="E28" s="80"/>
      <c r="F28" s="174"/>
      <c r="G28" s="176">
        <f>SUM(G15,G9,G7,G5)</f>
        <v>8908000</v>
      </c>
      <c r="H28" s="175"/>
      <c r="J28" s="78"/>
      <c r="K28" s="78" t="s">
        <v>129</v>
      </c>
      <c r="L28" s="78" t="s">
        <v>126</v>
      </c>
      <c r="M28" s="87">
        <f>+D22</f>
        <v>210</v>
      </c>
      <c r="N28" s="78" t="s">
        <v>166</v>
      </c>
      <c r="O28" s="79">
        <f t="shared" si="1"/>
        <v>836</v>
      </c>
      <c r="P28" s="120">
        <f t="shared" si="2"/>
        <v>339000</v>
      </c>
      <c r="Q28" s="78" t="s">
        <v>27</v>
      </c>
    </row>
    <row r="29" spans="1:17" s="75" customFormat="1" ht="18.75">
      <c r="A29" s="211"/>
      <c r="B29" s="80"/>
      <c r="C29" s="80"/>
      <c r="D29" s="80"/>
      <c r="E29" s="80"/>
      <c r="F29" s="174"/>
      <c r="G29" s="97">
        <f>+ROUNDDOWN(G28*0.98,-3)</f>
        <v>8729000</v>
      </c>
      <c r="H29" s="138" t="s">
        <v>246</v>
      </c>
      <c r="J29" s="78"/>
      <c r="K29" s="76" t="s">
        <v>169</v>
      </c>
      <c r="L29" s="78" t="s">
        <v>127</v>
      </c>
      <c r="M29" s="111">
        <v>50</v>
      </c>
      <c r="N29" s="78" t="s">
        <v>166</v>
      </c>
      <c r="O29" s="79">
        <f t="shared" si="1"/>
        <v>1229</v>
      </c>
      <c r="P29" s="120">
        <f t="shared" si="2"/>
        <v>119000</v>
      </c>
      <c r="Q29" s="78" t="s">
        <v>27</v>
      </c>
    </row>
    <row r="30" spans="1:17" ht="18" customHeight="1">
      <c r="A30" s="78"/>
      <c r="B30" s="78"/>
      <c r="C30" s="78"/>
      <c r="D30" s="78"/>
      <c r="E30" s="78"/>
      <c r="F30" s="79"/>
      <c r="G30" s="89"/>
      <c r="H30" s="90"/>
      <c r="J30" s="78"/>
      <c r="K30" s="78" t="s">
        <v>132</v>
      </c>
      <c r="L30" s="78" t="s">
        <v>170</v>
      </c>
      <c r="M30" s="87">
        <v>12</v>
      </c>
      <c r="N30" s="78" t="s">
        <v>50</v>
      </c>
      <c r="O30" s="110">
        <v>4155</v>
      </c>
      <c r="P30" s="120">
        <f t="shared" si="2"/>
        <v>96000</v>
      </c>
      <c r="Q30" s="78" t="s">
        <v>27</v>
      </c>
    </row>
    <row r="31" spans="1:17" s="75" customFormat="1" ht="18.75">
      <c r="A31" s="80" t="s">
        <v>144</v>
      </c>
      <c r="B31" s="80" t="s">
        <v>146</v>
      </c>
      <c r="C31" s="80" t="s">
        <v>145</v>
      </c>
      <c r="D31" s="81">
        <v>3700</v>
      </c>
      <c r="E31" s="80" t="s">
        <v>139</v>
      </c>
      <c r="F31" s="128">
        <v>934</v>
      </c>
      <c r="G31" s="81">
        <f>+INT(D31*F31)</f>
        <v>3455800</v>
      </c>
      <c r="H31" s="80" t="s">
        <v>31</v>
      </c>
      <c r="J31" s="76" t="s">
        <v>171</v>
      </c>
      <c r="K31" s="107" t="s">
        <v>135</v>
      </c>
      <c r="L31" s="107" t="s">
        <v>128</v>
      </c>
      <c r="M31" s="112">
        <v>0</v>
      </c>
      <c r="N31" s="107" t="s">
        <v>166</v>
      </c>
      <c r="O31" s="108">
        <f>+F25</f>
        <v>1353</v>
      </c>
      <c r="P31" s="121">
        <f t="shared" si="2"/>
        <v>0</v>
      </c>
      <c r="Q31" s="107" t="s">
        <v>27</v>
      </c>
    </row>
    <row r="32" spans="1:17" ht="18" customHeight="1" thickBot="1">
      <c r="A32" s="95"/>
      <c r="B32" s="95"/>
      <c r="C32" s="95"/>
      <c r="D32" s="95"/>
      <c r="E32" s="95"/>
      <c r="F32" s="96"/>
      <c r="G32" s="96"/>
      <c r="H32" s="95"/>
      <c r="J32" s="76" t="s">
        <v>169</v>
      </c>
      <c r="K32" s="107" t="s">
        <v>141</v>
      </c>
      <c r="L32" s="107" t="s">
        <v>142</v>
      </c>
      <c r="M32" s="112">
        <v>14</v>
      </c>
      <c r="N32" s="107" t="s">
        <v>54</v>
      </c>
      <c r="O32" s="108">
        <f>+F26</f>
        <v>13000</v>
      </c>
      <c r="P32" s="122">
        <f t="shared" si="2"/>
        <v>352000</v>
      </c>
      <c r="Q32" s="109" t="s">
        <v>27</v>
      </c>
    </row>
    <row r="33" spans="1:17" s="75" customFormat="1" ht="20.25" thickBot="1" thickTop="1">
      <c r="A33" s="208" t="s">
        <v>152</v>
      </c>
      <c r="B33" s="93"/>
      <c r="C33" s="93"/>
      <c r="D33" s="93"/>
      <c r="E33" s="93"/>
      <c r="F33" s="94"/>
      <c r="G33" s="173">
        <f>SUM(G5,G7,G9,G15,G31)</f>
        <v>12363800</v>
      </c>
      <c r="H33" s="93"/>
      <c r="J33" s="78"/>
      <c r="K33" s="78"/>
      <c r="L33" s="78"/>
      <c r="M33" s="78"/>
      <c r="N33" s="78"/>
      <c r="O33" s="88"/>
      <c r="P33" s="91">
        <v>5780000</v>
      </c>
      <c r="Q33" s="92">
        <v>1.9323</v>
      </c>
    </row>
    <row r="34" spans="1:17" s="75" customFormat="1" ht="18">
      <c r="A34" s="209"/>
      <c r="B34" s="134"/>
      <c r="C34" s="135"/>
      <c r="D34" s="135"/>
      <c r="E34" s="135"/>
      <c r="F34" s="136"/>
      <c r="G34" s="182">
        <f>+ROUNDDOWN(G33*0.98,-3)</f>
        <v>12116000</v>
      </c>
      <c r="H34" s="183" t="s">
        <v>246</v>
      </c>
      <c r="J34" s="188" t="s">
        <v>263</v>
      </c>
      <c r="K34" s="189"/>
      <c r="L34" s="189"/>
      <c r="M34" s="189"/>
      <c r="N34" s="189"/>
      <c r="O34" s="190" t="s">
        <v>260</v>
      </c>
      <c r="P34" s="192">
        <f>+INT(($G$5+$G$7+$G$9+$P$21-P31-P32)/M24)</f>
        <v>3104</v>
      </c>
      <c r="Q34" s="115" t="s">
        <v>252</v>
      </c>
    </row>
    <row r="35" spans="1:17" s="100" customFormat="1" ht="19.5">
      <c r="A35" s="99" t="s">
        <v>153</v>
      </c>
      <c r="B35" s="204" t="s">
        <v>154</v>
      </c>
      <c r="C35" s="205"/>
      <c r="D35" s="205"/>
      <c r="E35" s="205"/>
      <c r="F35" s="205"/>
      <c r="G35" s="205"/>
      <c r="H35" s="206"/>
      <c r="P35" s="213" t="s">
        <v>256</v>
      </c>
      <c r="Q35" s="213"/>
    </row>
    <row r="36" spans="1:17" s="75" customFormat="1" ht="18">
      <c r="A36" s="114" t="s">
        <v>253</v>
      </c>
      <c r="B36" s="115"/>
      <c r="C36" s="115"/>
      <c r="D36" s="115"/>
      <c r="E36" s="115"/>
      <c r="F36" s="113"/>
      <c r="G36" s="113">
        <f>+INT((G5+G7+G9+G15)/D31)</f>
        <v>2407</v>
      </c>
      <c r="H36" s="194" t="s">
        <v>262</v>
      </c>
      <c r="I36" s="123" t="s">
        <v>258</v>
      </c>
      <c r="J36" s="124"/>
      <c r="K36" s="124"/>
      <c r="L36" s="124"/>
      <c r="M36" s="124"/>
      <c r="N36" s="124"/>
      <c r="O36" s="125"/>
      <c r="P36" s="125"/>
      <c r="Q36" s="105"/>
    </row>
    <row r="38" spans="7:8" ht="18.75">
      <c r="G38" s="191">
        <f>+INT((G28-G26-G25)/D31)</f>
        <v>2062</v>
      </c>
      <c r="H38" s="75" t="s">
        <v>257</v>
      </c>
    </row>
  </sheetData>
  <sheetProtection/>
  <mergeCells count="8">
    <mergeCell ref="A1:Q1"/>
    <mergeCell ref="J7:Q7"/>
    <mergeCell ref="A28:A29"/>
    <mergeCell ref="A33:A34"/>
    <mergeCell ref="J11:J12"/>
    <mergeCell ref="B35:H35"/>
    <mergeCell ref="K13:Q13"/>
    <mergeCell ref="P35:Q35"/>
  </mergeCells>
  <printOptions horizontalCentered="1" verticalCentered="1"/>
  <pageMargins left="0.1968503937007874" right="0.1968503937007874" top="0.5905511811023623" bottom="0.5905511811023623" header="0.31496062992125984" footer="0.31496062992125984"/>
  <pageSetup fitToHeight="0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白築　治枝</cp:lastModifiedBy>
  <cp:lastPrinted>2024-03-27T04:13:51Z</cp:lastPrinted>
  <dcterms:created xsi:type="dcterms:W3CDTF">2003-03-03T01:39:17Z</dcterms:created>
  <dcterms:modified xsi:type="dcterms:W3CDTF">2024-04-04T05:35:32Z</dcterms:modified>
  <cp:category/>
  <cp:version/>
  <cp:contentType/>
  <cp:contentStatus/>
</cp:coreProperties>
</file>